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enne_projektmappe" defaultThemeVersion="124226"/>
  <bookViews>
    <workbookView xWindow="0" yWindow="0" windowWidth="15345" windowHeight="3855"/>
  </bookViews>
  <sheets>
    <sheet name="Maxi 1" sheetId="1" r:id="rId1"/>
    <sheet name="Maxi 2" sheetId="11" r:id="rId2"/>
    <sheet name="Maxi 3" sheetId="8" r:id="rId3"/>
    <sheet name="Midi" sheetId="10" r:id="rId4"/>
    <sheet name="DV-IDENTITY-0" sheetId="5" state="hidden" r:id="rId5"/>
    <sheet name="Mini" sheetId="14" r:id="rId6"/>
  </sheets>
  <calcPr calcId="162913"/>
</workbook>
</file>

<file path=xl/calcChain.xml><?xml version="1.0" encoding="utf-8"?>
<calcChain xmlns="http://schemas.openxmlformats.org/spreadsheetml/2006/main">
  <c r="T73" i="11" l="1"/>
  <c r="T59" i="11"/>
  <c r="T55" i="11"/>
  <c r="T43" i="14"/>
  <c r="T23" i="14"/>
  <c r="T13" i="14"/>
  <c r="T12" i="10"/>
  <c r="T14" i="10"/>
  <c r="T13" i="10"/>
  <c r="T9" i="10"/>
  <c r="T52" i="8"/>
  <c r="T45" i="8"/>
  <c r="T51" i="8"/>
  <c r="T50" i="8"/>
  <c r="T49" i="8"/>
  <c r="T48" i="8"/>
  <c r="T30" i="8"/>
  <c r="T21" i="8"/>
  <c r="T78" i="11"/>
  <c r="T77" i="11"/>
  <c r="T76" i="11"/>
  <c r="T51" i="11"/>
  <c r="T54" i="11"/>
  <c r="T57" i="11"/>
  <c r="T71" i="11"/>
  <c r="T74" i="11"/>
  <c r="T72" i="11"/>
  <c r="T50" i="11"/>
  <c r="T27" i="11"/>
  <c r="T15" i="11"/>
  <c r="T28" i="1"/>
  <c r="T27" i="10"/>
  <c r="T10" i="10"/>
  <c r="T44" i="8"/>
  <c r="T46" i="8"/>
  <c r="T23" i="8"/>
  <c r="T15" i="8"/>
  <c r="T16" i="8"/>
  <c r="T68" i="11"/>
  <c r="T26" i="11"/>
  <c r="T11" i="11"/>
  <c r="T21" i="11"/>
  <c r="T20" i="11"/>
  <c r="T19" i="11"/>
  <c r="T39" i="1"/>
  <c r="T38" i="1"/>
  <c r="T21" i="1"/>
  <c r="T17" i="1"/>
  <c r="T39" i="14"/>
  <c r="T38" i="14"/>
  <c r="T8" i="14"/>
  <c r="T14" i="14"/>
  <c r="T15" i="14"/>
  <c r="T16" i="14"/>
  <c r="T26" i="10"/>
  <c r="T38" i="10"/>
  <c r="T17" i="8"/>
  <c r="T49" i="11"/>
  <c r="T70" i="11"/>
  <c r="T64" i="11"/>
  <c r="T61" i="11"/>
  <c r="T14" i="11"/>
  <c r="T10" i="11"/>
  <c r="T20" i="1"/>
  <c r="T26" i="1"/>
  <c r="T35" i="11"/>
  <c r="T40" i="14"/>
  <c r="T36" i="14"/>
  <c r="T37" i="14"/>
  <c r="T35" i="14"/>
  <c r="T11" i="14"/>
  <c r="T10" i="14"/>
  <c r="T18" i="14"/>
  <c r="T12" i="14"/>
  <c r="T19" i="14"/>
  <c r="T17" i="14"/>
  <c r="T30" i="14"/>
  <c r="T24" i="8"/>
  <c r="T22" i="8"/>
  <c r="T29" i="8"/>
  <c r="T14" i="8"/>
  <c r="T13" i="8"/>
  <c r="T37" i="8"/>
  <c r="T75" i="11"/>
  <c r="T48" i="11"/>
  <c r="T60" i="11"/>
  <c r="T69" i="11"/>
  <c r="T63" i="11"/>
  <c r="T56" i="11"/>
  <c r="T23" i="11"/>
  <c r="T17" i="11"/>
  <c r="T16" i="11"/>
  <c r="T13" i="11"/>
  <c r="T8" i="1"/>
  <c r="T34" i="1"/>
  <c r="T33" i="1"/>
  <c r="T27" i="1"/>
  <c r="T15" i="10"/>
  <c r="T39" i="10"/>
  <c r="T28" i="10"/>
  <c r="T24" i="10"/>
  <c r="T11" i="10"/>
  <c r="T29" i="1"/>
  <c r="T18" i="1"/>
  <c r="T35" i="1"/>
  <c r="T22" i="1"/>
  <c r="T52" i="11"/>
  <c r="T53" i="11"/>
  <c r="T62" i="11"/>
  <c r="T66" i="11"/>
  <c r="T46" i="11"/>
  <c r="T22" i="11"/>
  <c r="T24" i="11"/>
  <c r="T25" i="11"/>
  <c r="T18" i="11"/>
  <c r="T47" i="8"/>
  <c r="T18" i="8"/>
  <c r="T37" i="10"/>
  <c r="T43" i="8" l="1"/>
  <c r="T37" i="11"/>
  <c r="T43" i="11"/>
  <c r="T47" i="11"/>
  <c r="T12" i="8"/>
  <c r="T39" i="11"/>
  <c r="T44" i="11"/>
  <c r="T41" i="11"/>
  <c r="T12" i="11"/>
  <c r="T32" i="11"/>
  <c r="T34" i="11"/>
  <c r="T25" i="1"/>
  <c r="T23" i="1"/>
  <c r="T9" i="14"/>
  <c r="T22" i="10"/>
  <c r="T8" i="10"/>
  <c r="T33" i="8"/>
  <c r="T36" i="8"/>
  <c r="T39" i="8"/>
  <c r="T40" i="8"/>
  <c r="T10" i="8"/>
  <c r="T40" i="11"/>
  <c r="T38" i="11"/>
  <c r="T24" i="1"/>
  <c r="T9" i="8"/>
  <c r="T41" i="8"/>
  <c r="T8" i="8"/>
  <c r="T42" i="8"/>
  <c r="T11" i="8"/>
  <c r="T21" i="10"/>
  <c r="T23" i="10"/>
  <c r="T25" i="10"/>
  <c r="T34" i="8"/>
  <c r="T35" i="8"/>
  <c r="T36" i="11"/>
  <c r="T42" i="11"/>
  <c r="T33" i="11"/>
  <c r="T31" i="11"/>
  <c r="T8" i="11"/>
  <c r="T9" i="11"/>
  <c r="T45" i="11"/>
  <c r="T19" i="1"/>
  <c r="T38" i="8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P59" i="5"/>
  <c r="CQ59" i="5"/>
  <c r="CR59" i="5"/>
  <c r="CS59" i="5"/>
  <c r="CT59" i="5"/>
  <c r="CU59" i="5"/>
  <c r="CV59" i="5"/>
  <c r="CW59" i="5"/>
  <c r="CX59" i="5"/>
  <c r="CY59" i="5"/>
  <c r="CZ59" i="5"/>
  <c r="DA59" i="5"/>
  <c r="DB59" i="5"/>
  <c r="DC59" i="5"/>
  <c r="DD59" i="5"/>
  <c r="DE59" i="5"/>
  <c r="DF59" i="5"/>
  <c r="DG59" i="5"/>
  <c r="DH59" i="5"/>
  <c r="DI59" i="5"/>
  <c r="DJ59" i="5"/>
  <c r="DK59" i="5"/>
  <c r="DL59" i="5"/>
  <c r="DM59" i="5"/>
  <c r="DN59" i="5"/>
  <c r="DO59" i="5"/>
  <c r="DP59" i="5"/>
  <c r="DQ59" i="5"/>
  <c r="DR59" i="5"/>
  <c r="DS59" i="5"/>
  <c r="DT59" i="5"/>
  <c r="DU59" i="5"/>
  <c r="DV59" i="5"/>
  <c r="DW59" i="5"/>
  <c r="DX59" i="5"/>
  <c r="DY59" i="5"/>
  <c r="DZ59" i="5"/>
  <c r="EA59" i="5"/>
  <c r="EB59" i="5"/>
  <c r="EC59" i="5"/>
  <c r="ED59" i="5"/>
  <c r="EE59" i="5"/>
  <c r="EF59" i="5"/>
  <c r="EG59" i="5"/>
  <c r="EH59" i="5"/>
  <c r="EI59" i="5"/>
  <c r="EJ59" i="5"/>
  <c r="EK59" i="5"/>
  <c r="EL59" i="5"/>
  <c r="EM59" i="5"/>
  <c r="EN59" i="5"/>
  <c r="EO59" i="5"/>
  <c r="EP59" i="5"/>
  <c r="EQ59" i="5"/>
  <c r="ER59" i="5"/>
  <c r="ES59" i="5"/>
  <c r="ET59" i="5"/>
  <c r="EU59" i="5"/>
  <c r="EV59" i="5"/>
  <c r="EW59" i="5"/>
  <c r="EX59" i="5"/>
  <c r="EY59" i="5"/>
  <c r="EZ59" i="5"/>
  <c r="FA59" i="5"/>
  <c r="FB59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P58" i="5"/>
  <c r="CQ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DE58" i="5"/>
  <c r="DF58" i="5"/>
  <c r="DG58" i="5"/>
  <c r="DH58" i="5"/>
  <c r="DI58" i="5"/>
  <c r="DJ58" i="5"/>
  <c r="DK58" i="5"/>
  <c r="DL58" i="5"/>
  <c r="DM58" i="5"/>
  <c r="DN58" i="5"/>
  <c r="DO58" i="5"/>
  <c r="DP58" i="5"/>
  <c r="DQ58" i="5"/>
  <c r="DR58" i="5"/>
  <c r="DS58" i="5"/>
  <c r="DT58" i="5"/>
  <c r="DU58" i="5"/>
  <c r="DV58" i="5"/>
  <c r="DW58" i="5"/>
  <c r="DX58" i="5"/>
  <c r="DY58" i="5"/>
  <c r="DZ58" i="5"/>
  <c r="EA58" i="5"/>
  <c r="EB58" i="5"/>
  <c r="EC58" i="5"/>
  <c r="ED58" i="5"/>
  <c r="EE58" i="5"/>
  <c r="EF58" i="5"/>
  <c r="EG58" i="5"/>
  <c r="EH58" i="5"/>
  <c r="EI58" i="5"/>
  <c r="EJ58" i="5"/>
  <c r="EK58" i="5"/>
  <c r="EL58" i="5"/>
  <c r="EM58" i="5"/>
  <c r="EN58" i="5"/>
  <c r="EO58" i="5"/>
  <c r="EP58" i="5"/>
  <c r="EQ58" i="5"/>
  <c r="ER58" i="5"/>
  <c r="ES58" i="5"/>
  <c r="ET58" i="5"/>
  <c r="EU58" i="5"/>
  <c r="EV58" i="5"/>
  <c r="EW58" i="5"/>
  <c r="EX58" i="5"/>
  <c r="EY58" i="5"/>
  <c r="EZ58" i="5"/>
  <c r="FA58" i="5"/>
  <c r="FB58" i="5"/>
  <c r="FC58" i="5"/>
  <c r="FD58" i="5"/>
  <c r="FE58" i="5"/>
  <c r="FF58" i="5"/>
  <c r="FG58" i="5"/>
  <c r="FH58" i="5"/>
  <c r="FI58" i="5"/>
  <c r="FJ58" i="5"/>
  <c r="FK58" i="5"/>
  <c r="FL58" i="5"/>
  <c r="FM58" i="5"/>
  <c r="FN58" i="5"/>
  <c r="FO58" i="5"/>
  <c r="FP58" i="5"/>
  <c r="FQ58" i="5"/>
  <c r="FR58" i="5"/>
  <c r="FS58" i="5"/>
  <c r="FT58" i="5"/>
  <c r="FU58" i="5"/>
  <c r="FV58" i="5"/>
  <c r="FW58" i="5"/>
  <c r="FX58" i="5"/>
  <c r="FY58" i="5"/>
  <c r="FZ58" i="5"/>
  <c r="GA58" i="5"/>
  <c r="GB58" i="5"/>
  <c r="GC58" i="5"/>
  <c r="GD58" i="5"/>
  <c r="GE58" i="5"/>
  <c r="GF58" i="5"/>
  <c r="GG58" i="5"/>
  <c r="GH58" i="5"/>
  <c r="GI58" i="5"/>
  <c r="GJ58" i="5"/>
  <c r="GK58" i="5"/>
  <c r="GL58" i="5"/>
  <c r="GM58" i="5"/>
  <c r="GN58" i="5"/>
  <c r="GO58" i="5"/>
  <c r="GP58" i="5"/>
  <c r="GQ58" i="5"/>
  <c r="GR58" i="5"/>
  <c r="GS58" i="5"/>
  <c r="GT58" i="5"/>
  <c r="GU58" i="5"/>
  <c r="GV58" i="5"/>
  <c r="GW58" i="5"/>
  <c r="GX58" i="5"/>
  <c r="GY58" i="5"/>
  <c r="GZ58" i="5"/>
  <c r="HA58" i="5"/>
  <c r="HB58" i="5"/>
  <c r="HC58" i="5"/>
  <c r="HD58" i="5"/>
  <c r="HE58" i="5"/>
  <c r="HF58" i="5"/>
  <c r="HG58" i="5"/>
  <c r="HH58" i="5"/>
  <c r="HI58" i="5"/>
  <c r="HJ58" i="5"/>
  <c r="HK58" i="5"/>
  <c r="HL58" i="5"/>
  <c r="HM58" i="5"/>
  <c r="HN58" i="5"/>
  <c r="HO58" i="5"/>
  <c r="HP58" i="5"/>
  <c r="HQ58" i="5"/>
  <c r="HR58" i="5"/>
  <c r="HS58" i="5"/>
  <c r="HT58" i="5"/>
  <c r="HU58" i="5"/>
  <c r="HV58" i="5"/>
  <c r="HW58" i="5"/>
  <c r="HX58" i="5"/>
  <c r="HY58" i="5"/>
  <c r="HZ58" i="5"/>
  <c r="IA58" i="5"/>
  <c r="IB58" i="5"/>
  <c r="IC58" i="5"/>
  <c r="ID58" i="5"/>
  <c r="IE58" i="5"/>
  <c r="IF58" i="5"/>
  <c r="IG58" i="5"/>
  <c r="IH58" i="5"/>
  <c r="II58" i="5"/>
  <c r="IJ58" i="5"/>
  <c r="IK58" i="5"/>
  <c r="IL58" i="5"/>
  <c r="IM58" i="5"/>
  <c r="IN58" i="5"/>
  <c r="IO58" i="5"/>
  <c r="IP58" i="5"/>
  <c r="IQ58" i="5"/>
  <c r="IR58" i="5"/>
  <c r="IS58" i="5"/>
  <c r="IT58" i="5"/>
  <c r="IU58" i="5"/>
  <c r="IV58" i="5"/>
  <c r="Z46" i="5" l="1"/>
  <c r="A1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ER6" i="5"/>
  <c r="ES6" i="5"/>
  <c r="ET6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FJ6" i="5"/>
  <c r="FK6" i="5"/>
  <c r="FL6" i="5"/>
  <c r="FM6" i="5"/>
  <c r="FN6" i="5"/>
  <c r="FO6" i="5"/>
  <c r="FP6" i="5"/>
  <c r="FQ6" i="5"/>
  <c r="FR6" i="5"/>
  <c r="FS6" i="5"/>
  <c r="FT6" i="5"/>
  <c r="FU6" i="5"/>
  <c r="FV6" i="5"/>
  <c r="FW6" i="5"/>
  <c r="FX6" i="5"/>
  <c r="FY6" i="5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HB6" i="5"/>
  <c r="HC6" i="5"/>
  <c r="HD6" i="5"/>
  <c r="HE6" i="5"/>
  <c r="HF6" i="5"/>
  <c r="HG6" i="5"/>
  <c r="HH6" i="5"/>
  <c r="HI6" i="5"/>
  <c r="HJ6" i="5"/>
  <c r="HK6" i="5"/>
  <c r="HL6" i="5"/>
  <c r="HM6" i="5"/>
  <c r="HN6" i="5"/>
  <c r="HO6" i="5"/>
  <c r="HP6" i="5"/>
  <c r="HQ6" i="5"/>
  <c r="HR6" i="5"/>
  <c r="HS6" i="5"/>
  <c r="HT6" i="5"/>
  <c r="HU6" i="5"/>
  <c r="HV6" i="5"/>
  <c r="HW6" i="5"/>
  <c r="HX6" i="5"/>
  <c r="HY6" i="5"/>
  <c r="HZ6" i="5"/>
  <c r="IA6" i="5"/>
  <c r="IB6" i="5"/>
  <c r="IC6" i="5"/>
  <c r="ID6" i="5"/>
  <c r="IE6" i="5"/>
  <c r="IF6" i="5"/>
  <c r="IG6" i="5"/>
  <c r="IH6" i="5"/>
  <c r="II6" i="5"/>
  <c r="IJ6" i="5"/>
  <c r="IK6" i="5"/>
  <c r="IL6" i="5"/>
  <c r="IM6" i="5"/>
  <c r="IN6" i="5"/>
  <c r="IO6" i="5"/>
  <c r="IP6" i="5"/>
  <c r="IQ6" i="5"/>
  <c r="IR6" i="5"/>
  <c r="IS6" i="5"/>
  <c r="IT6" i="5"/>
  <c r="IU6" i="5"/>
  <c r="IV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ER7" i="5"/>
  <c r="ES7" i="5"/>
  <c r="ET7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FJ7" i="5"/>
  <c r="FK7" i="5"/>
  <c r="FL7" i="5"/>
  <c r="FM7" i="5"/>
  <c r="FN7" i="5"/>
  <c r="FO7" i="5"/>
  <c r="FP7" i="5"/>
  <c r="FQ7" i="5"/>
  <c r="FR7" i="5"/>
  <c r="FS7" i="5"/>
  <c r="FT7" i="5"/>
  <c r="FU7" i="5"/>
  <c r="FV7" i="5"/>
  <c r="FW7" i="5"/>
  <c r="FX7" i="5"/>
  <c r="FY7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HB7" i="5"/>
  <c r="HC7" i="5"/>
  <c r="HD7" i="5"/>
  <c r="HE7" i="5"/>
  <c r="HF7" i="5"/>
  <c r="HG7" i="5"/>
  <c r="HH7" i="5"/>
  <c r="HI7" i="5"/>
  <c r="HJ7" i="5"/>
  <c r="HK7" i="5"/>
  <c r="HL7" i="5"/>
  <c r="HM7" i="5"/>
  <c r="HN7" i="5"/>
  <c r="HO7" i="5"/>
  <c r="HP7" i="5"/>
  <c r="HQ7" i="5"/>
  <c r="HR7" i="5"/>
  <c r="HS7" i="5"/>
  <c r="HT7" i="5"/>
  <c r="HU7" i="5"/>
  <c r="HV7" i="5"/>
  <c r="HW7" i="5"/>
  <c r="HX7" i="5"/>
  <c r="HY7" i="5"/>
  <c r="HZ7" i="5"/>
  <c r="IA7" i="5"/>
  <c r="IB7" i="5"/>
  <c r="IC7" i="5"/>
  <c r="ID7" i="5"/>
  <c r="IE7" i="5"/>
  <c r="IF7" i="5"/>
  <c r="IG7" i="5"/>
  <c r="IH7" i="5"/>
  <c r="II7" i="5"/>
  <c r="IJ7" i="5"/>
  <c r="IK7" i="5"/>
  <c r="IL7" i="5"/>
  <c r="IM7" i="5"/>
  <c r="IN7" i="5"/>
  <c r="IO7" i="5"/>
  <c r="IP7" i="5"/>
  <c r="IQ7" i="5"/>
  <c r="IR7" i="5"/>
  <c r="IS7" i="5"/>
  <c r="IT7" i="5"/>
  <c r="IU7" i="5"/>
  <c r="IV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EA9" i="5"/>
  <c r="EB9" i="5"/>
  <c r="EC9" i="5"/>
  <c r="ED9" i="5"/>
  <c r="EE9" i="5"/>
  <c r="EF9" i="5"/>
  <c r="EG9" i="5"/>
  <c r="EH9" i="5"/>
  <c r="EI9" i="5"/>
  <c r="EJ9" i="5"/>
  <c r="EK9" i="5"/>
  <c r="EL9" i="5"/>
  <c r="EM9" i="5"/>
  <c r="EN9" i="5"/>
  <c r="EO9" i="5"/>
  <c r="EP9" i="5"/>
  <c r="EQ9" i="5"/>
  <c r="ER9" i="5"/>
  <c r="ES9" i="5"/>
  <c r="ET9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FJ9" i="5"/>
  <c r="FK9" i="5"/>
  <c r="FL9" i="5"/>
  <c r="FM9" i="5"/>
  <c r="FN9" i="5"/>
  <c r="FO9" i="5"/>
  <c r="FP9" i="5"/>
  <c r="FQ9" i="5"/>
  <c r="FR9" i="5"/>
  <c r="FS9" i="5"/>
  <c r="FT9" i="5"/>
  <c r="FU9" i="5"/>
  <c r="FV9" i="5"/>
  <c r="FW9" i="5"/>
  <c r="FX9" i="5"/>
  <c r="FY9" i="5"/>
  <c r="FZ9" i="5"/>
  <c r="GA9" i="5"/>
  <c r="GB9" i="5"/>
  <c r="GC9" i="5"/>
  <c r="GD9" i="5"/>
  <c r="GE9" i="5"/>
  <c r="GF9" i="5"/>
  <c r="GG9" i="5"/>
  <c r="GH9" i="5"/>
  <c r="GI9" i="5"/>
  <c r="GJ9" i="5"/>
  <c r="GK9" i="5"/>
  <c r="GL9" i="5"/>
  <c r="GM9" i="5"/>
  <c r="GN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HB9" i="5"/>
  <c r="HC9" i="5"/>
  <c r="HD9" i="5"/>
  <c r="HE9" i="5"/>
  <c r="HF9" i="5"/>
  <c r="HG9" i="5"/>
  <c r="HH9" i="5"/>
  <c r="HI9" i="5"/>
  <c r="HJ9" i="5"/>
  <c r="HK9" i="5"/>
  <c r="HL9" i="5"/>
  <c r="HM9" i="5"/>
  <c r="HN9" i="5"/>
  <c r="HO9" i="5"/>
  <c r="HP9" i="5"/>
  <c r="HQ9" i="5"/>
  <c r="HR9" i="5"/>
  <c r="HS9" i="5"/>
  <c r="HT9" i="5"/>
  <c r="HU9" i="5"/>
  <c r="HV9" i="5"/>
  <c r="HW9" i="5"/>
  <c r="HX9" i="5"/>
  <c r="HY9" i="5"/>
  <c r="HZ9" i="5"/>
  <c r="IA9" i="5"/>
  <c r="IB9" i="5"/>
  <c r="IC9" i="5"/>
  <c r="ID9" i="5"/>
  <c r="IE9" i="5"/>
  <c r="IF9" i="5"/>
  <c r="IG9" i="5"/>
  <c r="IH9" i="5"/>
  <c r="II9" i="5"/>
  <c r="IJ9" i="5"/>
  <c r="IK9" i="5"/>
  <c r="IL9" i="5"/>
  <c r="IM9" i="5"/>
  <c r="IN9" i="5"/>
  <c r="IO9" i="5"/>
  <c r="IP9" i="5"/>
  <c r="IQ9" i="5"/>
  <c r="IR9" i="5"/>
  <c r="IS9" i="5"/>
  <c r="IT9" i="5"/>
  <c r="IU9" i="5"/>
  <c r="IV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DS10" i="5"/>
  <c r="DT10" i="5"/>
  <c r="DU10" i="5"/>
  <c r="DV10" i="5"/>
  <c r="DW10" i="5"/>
  <c r="DX10" i="5"/>
  <c r="DY10" i="5"/>
  <c r="DZ10" i="5"/>
  <c r="EA10" i="5"/>
  <c r="EB10" i="5"/>
  <c r="EC10" i="5"/>
  <c r="ED10" i="5"/>
  <c r="EE10" i="5"/>
  <c r="EF10" i="5"/>
  <c r="EG10" i="5"/>
  <c r="EH10" i="5"/>
  <c r="EI10" i="5"/>
  <c r="EJ10" i="5"/>
  <c r="EK10" i="5"/>
  <c r="EL10" i="5"/>
  <c r="EM10" i="5"/>
  <c r="EN10" i="5"/>
  <c r="EO10" i="5"/>
  <c r="EP10" i="5"/>
  <c r="EQ10" i="5"/>
  <c r="ER10" i="5"/>
  <c r="ES10" i="5"/>
  <c r="ET10" i="5"/>
  <c r="EU10" i="5"/>
  <c r="EV10" i="5"/>
  <c r="EW10" i="5"/>
  <c r="EX10" i="5"/>
  <c r="EY10" i="5"/>
  <c r="EZ10" i="5"/>
  <c r="FA10" i="5"/>
  <c r="FB10" i="5"/>
  <c r="FC10" i="5"/>
  <c r="FD10" i="5"/>
  <c r="FE10" i="5"/>
  <c r="FF10" i="5"/>
  <c r="FG10" i="5"/>
  <c r="FH10" i="5"/>
  <c r="FI10" i="5"/>
  <c r="FJ10" i="5"/>
  <c r="FK10" i="5"/>
  <c r="FL10" i="5"/>
  <c r="FM10" i="5"/>
  <c r="FN10" i="5"/>
  <c r="FO10" i="5"/>
  <c r="FP10" i="5"/>
  <c r="FQ10" i="5"/>
  <c r="FR10" i="5"/>
  <c r="FS10" i="5"/>
  <c r="FT10" i="5"/>
  <c r="FU10" i="5"/>
  <c r="FV10" i="5"/>
  <c r="FW10" i="5"/>
  <c r="FX10" i="5"/>
  <c r="FY10" i="5"/>
  <c r="FZ10" i="5"/>
  <c r="GA10" i="5"/>
  <c r="GB10" i="5"/>
  <c r="GC10" i="5"/>
  <c r="GD10" i="5"/>
  <c r="GE10" i="5"/>
  <c r="GF10" i="5"/>
  <c r="GG10" i="5"/>
  <c r="GH10" i="5"/>
  <c r="GI10" i="5"/>
  <c r="GJ10" i="5"/>
  <c r="GK10" i="5"/>
  <c r="GL10" i="5"/>
  <c r="GM10" i="5"/>
  <c r="GN10" i="5"/>
  <c r="GO10" i="5"/>
  <c r="GP10" i="5"/>
  <c r="GQ10" i="5"/>
  <c r="GR10" i="5"/>
  <c r="GS10" i="5"/>
  <c r="GT10" i="5"/>
  <c r="GU10" i="5"/>
  <c r="GV10" i="5"/>
  <c r="GW10" i="5"/>
  <c r="GX10" i="5"/>
  <c r="GY10" i="5"/>
  <c r="GZ10" i="5"/>
  <c r="HA10" i="5"/>
  <c r="HB10" i="5"/>
  <c r="HC10" i="5"/>
  <c r="HD10" i="5"/>
  <c r="HE10" i="5"/>
  <c r="HF10" i="5"/>
  <c r="HG10" i="5"/>
  <c r="HH10" i="5"/>
  <c r="HI10" i="5"/>
  <c r="HJ10" i="5"/>
  <c r="HK10" i="5"/>
  <c r="HL10" i="5"/>
  <c r="HM10" i="5"/>
  <c r="HN10" i="5"/>
  <c r="HO10" i="5"/>
  <c r="HP10" i="5"/>
  <c r="HQ10" i="5"/>
  <c r="HR10" i="5"/>
  <c r="HS10" i="5"/>
  <c r="HT10" i="5"/>
  <c r="HU10" i="5"/>
  <c r="HV10" i="5"/>
  <c r="HW10" i="5"/>
  <c r="HX10" i="5"/>
  <c r="HY10" i="5"/>
  <c r="HZ10" i="5"/>
  <c r="IA10" i="5"/>
  <c r="IB10" i="5"/>
  <c r="IC10" i="5"/>
  <c r="ID10" i="5"/>
  <c r="IE10" i="5"/>
  <c r="IF10" i="5"/>
  <c r="IG10" i="5"/>
  <c r="IH10" i="5"/>
  <c r="II10" i="5"/>
  <c r="IJ10" i="5"/>
  <c r="IK10" i="5"/>
  <c r="IL10" i="5"/>
  <c r="IM10" i="5"/>
  <c r="IN10" i="5"/>
  <c r="IO10" i="5"/>
  <c r="IP10" i="5"/>
  <c r="IQ10" i="5"/>
  <c r="IR10" i="5"/>
  <c r="IS10" i="5"/>
  <c r="IT10" i="5"/>
  <c r="IU10" i="5"/>
  <c r="IV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HU11" i="5"/>
  <c r="HV11" i="5"/>
  <c r="HW11" i="5"/>
  <c r="HX11" i="5"/>
  <c r="HY11" i="5"/>
  <c r="HZ11" i="5"/>
  <c r="IA11" i="5"/>
  <c r="IB11" i="5"/>
  <c r="IC11" i="5"/>
  <c r="ID11" i="5"/>
  <c r="IE11" i="5"/>
  <c r="IF11" i="5"/>
  <c r="IG11" i="5"/>
  <c r="IH11" i="5"/>
  <c r="II11" i="5"/>
  <c r="IJ11" i="5"/>
  <c r="IK11" i="5"/>
  <c r="IL11" i="5"/>
  <c r="IM11" i="5"/>
  <c r="IN11" i="5"/>
  <c r="IO11" i="5"/>
  <c r="IP11" i="5"/>
  <c r="IQ11" i="5"/>
  <c r="IR11" i="5"/>
  <c r="IS11" i="5"/>
  <c r="IT11" i="5"/>
  <c r="IU11" i="5"/>
  <c r="IV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C12" i="5"/>
  <c r="ED12" i="5"/>
  <c r="EE12" i="5"/>
  <c r="EF12" i="5"/>
  <c r="EG12" i="5"/>
  <c r="EH12" i="5"/>
  <c r="EI12" i="5"/>
  <c r="EJ12" i="5"/>
  <c r="EK12" i="5"/>
  <c r="EL12" i="5"/>
  <c r="EM12" i="5"/>
  <c r="EN12" i="5"/>
  <c r="EO12" i="5"/>
  <c r="EP12" i="5"/>
  <c r="EQ12" i="5"/>
  <c r="ER12" i="5"/>
  <c r="ES12" i="5"/>
  <c r="ET12" i="5"/>
  <c r="EU12" i="5"/>
  <c r="EV12" i="5"/>
  <c r="EW12" i="5"/>
  <c r="EX12" i="5"/>
  <c r="EY12" i="5"/>
  <c r="EZ12" i="5"/>
  <c r="FA12" i="5"/>
  <c r="FB12" i="5"/>
  <c r="FC12" i="5"/>
  <c r="FD12" i="5"/>
  <c r="FE12" i="5"/>
  <c r="FF12" i="5"/>
  <c r="FG12" i="5"/>
  <c r="FH12" i="5"/>
  <c r="FI12" i="5"/>
  <c r="FJ12" i="5"/>
  <c r="FK12" i="5"/>
  <c r="FL12" i="5"/>
  <c r="FM12" i="5"/>
  <c r="FN12" i="5"/>
  <c r="FO12" i="5"/>
  <c r="FP12" i="5"/>
  <c r="FQ12" i="5"/>
  <c r="FR12" i="5"/>
  <c r="FS12" i="5"/>
  <c r="FT12" i="5"/>
  <c r="FU12" i="5"/>
  <c r="FV12" i="5"/>
  <c r="FW12" i="5"/>
  <c r="FX12" i="5"/>
  <c r="FY12" i="5"/>
  <c r="FZ12" i="5"/>
  <c r="GA12" i="5"/>
  <c r="GB12" i="5"/>
  <c r="GC12" i="5"/>
  <c r="GD12" i="5"/>
  <c r="GE12" i="5"/>
  <c r="GF12" i="5"/>
  <c r="GG12" i="5"/>
  <c r="GH12" i="5"/>
  <c r="GI12" i="5"/>
  <c r="GJ12" i="5"/>
  <c r="GK12" i="5"/>
  <c r="GL12" i="5"/>
  <c r="GM12" i="5"/>
  <c r="GN12" i="5"/>
  <c r="GO12" i="5"/>
  <c r="GP12" i="5"/>
  <c r="GQ12" i="5"/>
  <c r="GR12" i="5"/>
  <c r="GS12" i="5"/>
  <c r="GT12" i="5"/>
  <c r="GU12" i="5"/>
  <c r="GV12" i="5"/>
  <c r="GW12" i="5"/>
  <c r="GX12" i="5"/>
  <c r="GY12" i="5"/>
  <c r="GZ12" i="5"/>
  <c r="HA12" i="5"/>
  <c r="HB12" i="5"/>
  <c r="HC12" i="5"/>
  <c r="HD12" i="5"/>
  <c r="HE12" i="5"/>
  <c r="HF12" i="5"/>
  <c r="HG12" i="5"/>
  <c r="HH12" i="5"/>
  <c r="HI12" i="5"/>
  <c r="HJ12" i="5"/>
  <c r="HK12" i="5"/>
  <c r="HL12" i="5"/>
  <c r="HM12" i="5"/>
  <c r="HN12" i="5"/>
  <c r="HO12" i="5"/>
  <c r="HP12" i="5"/>
  <c r="HQ12" i="5"/>
  <c r="HR12" i="5"/>
  <c r="HS12" i="5"/>
  <c r="HT12" i="5"/>
  <c r="HU12" i="5"/>
  <c r="HV12" i="5"/>
  <c r="HW12" i="5"/>
  <c r="HX12" i="5"/>
  <c r="HY12" i="5"/>
  <c r="HZ12" i="5"/>
  <c r="IA12" i="5"/>
  <c r="IB12" i="5"/>
  <c r="IC12" i="5"/>
  <c r="ID12" i="5"/>
  <c r="IE12" i="5"/>
  <c r="IF12" i="5"/>
  <c r="IG12" i="5"/>
  <c r="IH12" i="5"/>
  <c r="II12" i="5"/>
  <c r="IJ12" i="5"/>
  <c r="IK12" i="5"/>
  <c r="IL12" i="5"/>
  <c r="IM12" i="5"/>
  <c r="IN12" i="5"/>
  <c r="IO12" i="5"/>
  <c r="IP12" i="5"/>
  <c r="IQ12" i="5"/>
  <c r="IR12" i="5"/>
  <c r="IS12" i="5"/>
  <c r="IT12" i="5"/>
  <c r="IU12" i="5"/>
  <c r="IV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DI13" i="5"/>
  <c r="DJ13" i="5"/>
  <c r="DK13" i="5"/>
  <c r="DL13" i="5"/>
  <c r="DM13" i="5"/>
  <c r="DN13" i="5"/>
  <c r="DO13" i="5"/>
  <c r="DP13" i="5"/>
  <c r="DQ13" i="5"/>
  <c r="DR13" i="5"/>
  <c r="DS13" i="5"/>
  <c r="DT13" i="5"/>
  <c r="DU13" i="5"/>
  <c r="DV13" i="5"/>
  <c r="DW13" i="5"/>
  <c r="DX13" i="5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ER13" i="5"/>
  <c r="ES13" i="5"/>
  <c r="ET13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FJ13" i="5"/>
  <c r="FK13" i="5"/>
  <c r="FL13" i="5"/>
  <c r="FM13" i="5"/>
  <c r="FN13" i="5"/>
  <c r="FO13" i="5"/>
  <c r="FP13" i="5"/>
  <c r="FQ13" i="5"/>
  <c r="FR13" i="5"/>
  <c r="FS13" i="5"/>
  <c r="FT13" i="5"/>
  <c r="FU13" i="5"/>
  <c r="FV13" i="5"/>
  <c r="FW13" i="5"/>
  <c r="FX13" i="5"/>
  <c r="FY13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GO13" i="5"/>
  <c r="GP13" i="5"/>
  <c r="GQ13" i="5"/>
  <c r="GR13" i="5"/>
  <c r="GS13" i="5"/>
  <c r="GT13" i="5"/>
  <c r="GU13" i="5"/>
  <c r="GV13" i="5"/>
  <c r="GW13" i="5"/>
  <c r="GX13" i="5"/>
  <c r="GY13" i="5"/>
  <c r="GZ13" i="5"/>
  <c r="HA13" i="5"/>
  <c r="HB13" i="5"/>
  <c r="HC13" i="5"/>
  <c r="HD13" i="5"/>
  <c r="HE13" i="5"/>
  <c r="HF13" i="5"/>
  <c r="HG13" i="5"/>
  <c r="HH13" i="5"/>
  <c r="HI13" i="5"/>
  <c r="HJ13" i="5"/>
  <c r="HK13" i="5"/>
  <c r="HL13" i="5"/>
  <c r="HM13" i="5"/>
  <c r="HN13" i="5"/>
  <c r="HO13" i="5"/>
  <c r="HP13" i="5"/>
  <c r="HQ13" i="5"/>
  <c r="HR13" i="5"/>
  <c r="HS13" i="5"/>
  <c r="HT13" i="5"/>
  <c r="HU13" i="5"/>
  <c r="HV13" i="5"/>
  <c r="HW13" i="5"/>
  <c r="HX13" i="5"/>
  <c r="HY13" i="5"/>
  <c r="HZ13" i="5"/>
  <c r="IA13" i="5"/>
  <c r="IB13" i="5"/>
  <c r="IC13" i="5"/>
  <c r="ID13" i="5"/>
  <c r="IE13" i="5"/>
  <c r="IF13" i="5"/>
  <c r="IG13" i="5"/>
  <c r="IH13" i="5"/>
  <c r="II13" i="5"/>
  <c r="IJ13" i="5"/>
  <c r="IK13" i="5"/>
  <c r="IL13" i="5"/>
  <c r="IM13" i="5"/>
  <c r="IN13" i="5"/>
  <c r="IO13" i="5"/>
  <c r="IP13" i="5"/>
  <c r="IQ13" i="5"/>
  <c r="IR13" i="5"/>
  <c r="IS13" i="5"/>
  <c r="IT13" i="5"/>
  <c r="IU13" i="5"/>
  <c r="IV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EE14" i="5"/>
  <c r="EF14" i="5"/>
  <c r="EG14" i="5"/>
  <c r="EH14" i="5"/>
  <c r="EI14" i="5"/>
  <c r="EJ14" i="5"/>
  <c r="EK14" i="5"/>
  <c r="EL14" i="5"/>
  <c r="EM14" i="5"/>
  <c r="EN14" i="5"/>
  <c r="EO14" i="5"/>
  <c r="EP14" i="5"/>
  <c r="EQ14" i="5"/>
  <c r="ER14" i="5"/>
  <c r="ES14" i="5"/>
  <c r="ET14" i="5"/>
  <c r="EU14" i="5"/>
  <c r="EV14" i="5"/>
  <c r="EW14" i="5"/>
  <c r="EX14" i="5"/>
  <c r="EY14" i="5"/>
  <c r="EZ14" i="5"/>
  <c r="FA14" i="5"/>
  <c r="FB14" i="5"/>
  <c r="FC14" i="5"/>
  <c r="FD14" i="5"/>
  <c r="FE14" i="5"/>
  <c r="FF14" i="5"/>
  <c r="FG14" i="5"/>
  <c r="FH14" i="5"/>
  <c r="FI14" i="5"/>
  <c r="FJ14" i="5"/>
  <c r="FK14" i="5"/>
  <c r="FL14" i="5"/>
  <c r="FM14" i="5"/>
  <c r="FN14" i="5"/>
  <c r="FO14" i="5"/>
  <c r="FP14" i="5"/>
  <c r="FQ14" i="5"/>
  <c r="FR14" i="5"/>
  <c r="FS14" i="5"/>
  <c r="FT14" i="5"/>
  <c r="FU14" i="5"/>
  <c r="FV14" i="5"/>
  <c r="FW14" i="5"/>
  <c r="FX14" i="5"/>
  <c r="FY14" i="5"/>
  <c r="FZ14" i="5"/>
  <c r="GA14" i="5"/>
  <c r="GB14" i="5"/>
  <c r="GC14" i="5"/>
  <c r="GD14" i="5"/>
  <c r="GE14" i="5"/>
  <c r="GF14" i="5"/>
  <c r="GG14" i="5"/>
  <c r="GH14" i="5"/>
  <c r="GI14" i="5"/>
  <c r="GJ14" i="5"/>
  <c r="GK14" i="5"/>
  <c r="GL14" i="5"/>
  <c r="GM14" i="5"/>
  <c r="GN14" i="5"/>
  <c r="GO14" i="5"/>
  <c r="GP14" i="5"/>
  <c r="GQ14" i="5"/>
  <c r="GR14" i="5"/>
  <c r="GS14" i="5"/>
  <c r="GT14" i="5"/>
  <c r="GU14" i="5"/>
  <c r="GV14" i="5"/>
  <c r="GW14" i="5"/>
  <c r="GX14" i="5"/>
  <c r="GY14" i="5"/>
  <c r="GZ14" i="5"/>
  <c r="HA14" i="5"/>
  <c r="HB14" i="5"/>
  <c r="HC14" i="5"/>
  <c r="HD14" i="5"/>
  <c r="HE14" i="5"/>
  <c r="HF14" i="5"/>
  <c r="HG14" i="5"/>
  <c r="HH14" i="5"/>
  <c r="HI14" i="5"/>
  <c r="HJ14" i="5"/>
  <c r="HK14" i="5"/>
  <c r="HL14" i="5"/>
  <c r="HM14" i="5"/>
  <c r="HN14" i="5"/>
  <c r="HO14" i="5"/>
  <c r="HP14" i="5"/>
  <c r="HQ14" i="5"/>
  <c r="HR14" i="5"/>
  <c r="HS14" i="5"/>
  <c r="HT14" i="5"/>
  <c r="HU14" i="5"/>
  <c r="HV14" i="5"/>
  <c r="HW14" i="5"/>
  <c r="HX14" i="5"/>
  <c r="HY14" i="5"/>
  <c r="HZ14" i="5"/>
  <c r="IA14" i="5"/>
  <c r="IB14" i="5"/>
  <c r="IC14" i="5"/>
  <c r="ID14" i="5"/>
  <c r="IE14" i="5"/>
  <c r="IF14" i="5"/>
  <c r="IG14" i="5"/>
  <c r="IH14" i="5"/>
  <c r="II14" i="5"/>
  <c r="IJ14" i="5"/>
  <c r="IK14" i="5"/>
  <c r="IL14" i="5"/>
  <c r="IM14" i="5"/>
  <c r="IN14" i="5"/>
  <c r="IO14" i="5"/>
  <c r="IP14" i="5"/>
  <c r="IQ14" i="5"/>
  <c r="IR14" i="5"/>
  <c r="IS14" i="5"/>
  <c r="IT14" i="5"/>
  <c r="IU14" i="5"/>
  <c r="IV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EV15" i="5"/>
  <c r="EW15" i="5"/>
  <c r="EX15" i="5"/>
  <c r="EY15" i="5"/>
  <c r="EZ15" i="5"/>
  <c r="FA15" i="5"/>
  <c r="FB15" i="5"/>
  <c r="FC15" i="5"/>
  <c r="FD15" i="5"/>
  <c r="FE15" i="5"/>
  <c r="FF15" i="5"/>
  <c r="FG15" i="5"/>
  <c r="FH15" i="5"/>
  <c r="FI15" i="5"/>
  <c r="FJ15" i="5"/>
  <c r="FK15" i="5"/>
  <c r="FL15" i="5"/>
  <c r="FM15" i="5"/>
  <c r="FN15" i="5"/>
  <c r="FO15" i="5"/>
  <c r="FP15" i="5"/>
  <c r="FQ15" i="5"/>
  <c r="FR15" i="5"/>
  <c r="FS15" i="5"/>
  <c r="FT15" i="5"/>
  <c r="FU15" i="5"/>
  <c r="FV15" i="5"/>
  <c r="FW15" i="5"/>
  <c r="FX15" i="5"/>
  <c r="FY15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HB15" i="5"/>
  <c r="HC15" i="5"/>
  <c r="HD15" i="5"/>
  <c r="HE15" i="5"/>
  <c r="HF15" i="5"/>
  <c r="HG15" i="5"/>
  <c r="HH15" i="5"/>
  <c r="HI15" i="5"/>
  <c r="HJ15" i="5"/>
  <c r="HK15" i="5"/>
  <c r="HL15" i="5"/>
  <c r="HM15" i="5"/>
  <c r="HN15" i="5"/>
  <c r="HO15" i="5"/>
  <c r="HP15" i="5"/>
  <c r="HQ15" i="5"/>
  <c r="HR15" i="5"/>
  <c r="HS15" i="5"/>
  <c r="HT15" i="5"/>
  <c r="HU15" i="5"/>
  <c r="HV15" i="5"/>
  <c r="HW15" i="5"/>
  <c r="HX15" i="5"/>
  <c r="HY15" i="5"/>
  <c r="HZ15" i="5"/>
  <c r="IA15" i="5"/>
  <c r="IB15" i="5"/>
  <c r="IC15" i="5"/>
  <c r="ID15" i="5"/>
  <c r="IE15" i="5"/>
  <c r="IF15" i="5"/>
  <c r="IG15" i="5"/>
  <c r="IH15" i="5"/>
  <c r="II15" i="5"/>
  <c r="IJ15" i="5"/>
  <c r="IK15" i="5"/>
  <c r="IL15" i="5"/>
  <c r="IM15" i="5"/>
  <c r="IN15" i="5"/>
  <c r="IO15" i="5"/>
  <c r="IP15" i="5"/>
  <c r="IQ15" i="5"/>
  <c r="IR15" i="5"/>
  <c r="IS15" i="5"/>
  <c r="IT15" i="5"/>
  <c r="IU15" i="5"/>
  <c r="IV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EE16" i="5"/>
  <c r="EF16" i="5"/>
  <c r="EG16" i="5"/>
  <c r="EH16" i="5"/>
  <c r="EI16" i="5"/>
  <c r="EJ16" i="5"/>
  <c r="EK16" i="5"/>
  <c r="EL16" i="5"/>
  <c r="EM16" i="5"/>
  <c r="EN16" i="5"/>
  <c r="EO16" i="5"/>
  <c r="EP16" i="5"/>
  <c r="EQ16" i="5"/>
  <c r="ER16" i="5"/>
  <c r="ES16" i="5"/>
  <c r="ET16" i="5"/>
  <c r="EU16" i="5"/>
  <c r="EV16" i="5"/>
  <c r="EW16" i="5"/>
  <c r="EX16" i="5"/>
  <c r="EY16" i="5"/>
  <c r="EZ16" i="5"/>
  <c r="FA16" i="5"/>
  <c r="FB16" i="5"/>
  <c r="FC16" i="5"/>
  <c r="FD16" i="5"/>
  <c r="FE16" i="5"/>
  <c r="FF16" i="5"/>
  <c r="FG16" i="5"/>
  <c r="FH16" i="5"/>
  <c r="FI16" i="5"/>
  <c r="FJ16" i="5"/>
  <c r="FK16" i="5"/>
  <c r="FL16" i="5"/>
  <c r="FM16" i="5"/>
  <c r="FN16" i="5"/>
  <c r="FO16" i="5"/>
  <c r="FP16" i="5"/>
  <c r="FQ16" i="5"/>
  <c r="FR16" i="5"/>
  <c r="FS16" i="5"/>
  <c r="FT16" i="5"/>
  <c r="FU16" i="5"/>
  <c r="FV16" i="5"/>
  <c r="FW16" i="5"/>
  <c r="FX16" i="5"/>
  <c r="FY16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HB16" i="5"/>
  <c r="HC16" i="5"/>
  <c r="HD16" i="5"/>
  <c r="HE16" i="5"/>
  <c r="HF16" i="5"/>
  <c r="HG16" i="5"/>
  <c r="HH16" i="5"/>
  <c r="HI16" i="5"/>
  <c r="HJ16" i="5"/>
  <c r="HK16" i="5"/>
  <c r="HL16" i="5"/>
  <c r="HM16" i="5"/>
  <c r="HN16" i="5"/>
  <c r="HO16" i="5"/>
  <c r="HP16" i="5"/>
  <c r="HQ16" i="5"/>
  <c r="HR16" i="5"/>
  <c r="HS16" i="5"/>
  <c r="HT16" i="5"/>
  <c r="HU16" i="5"/>
  <c r="HV16" i="5"/>
  <c r="HW16" i="5"/>
  <c r="HX16" i="5"/>
  <c r="HY16" i="5"/>
  <c r="HZ16" i="5"/>
  <c r="IA16" i="5"/>
  <c r="IB16" i="5"/>
  <c r="IC16" i="5"/>
  <c r="ID16" i="5"/>
  <c r="IE16" i="5"/>
  <c r="IF16" i="5"/>
  <c r="IG16" i="5"/>
  <c r="IH16" i="5"/>
  <c r="II16" i="5"/>
  <c r="IJ16" i="5"/>
  <c r="IK16" i="5"/>
  <c r="IL16" i="5"/>
  <c r="IM16" i="5"/>
  <c r="IN16" i="5"/>
  <c r="IO16" i="5"/>
  <c r="IP16" i="5"/>
  <c r="IQ16" i="5"/>
  <c r="IR16" i="5"/>
  <c r="IS16" i="5"/>
  <c r="IT16" i="5"/>
  <c r="IU16" i="5"/>
  <c r="IV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DI17" i="5"/>
  <c r="DJ17" i="5"/>
  <c r="DK17" i="5"/>
  <c r="DL17" i="5"/>
  <c r="DM17" i="5"/>
  <c r="DN17" i="5"/>
  <c r="DO17" i="5"/>
  <c r="DP17" i="5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EE17" i="5"/>
  <c r="EF17" i="5"/>
  <c r="EG17" i="5"/>
  <c r="EH17" i="5"/>
  <c r="EI17" i="5"/>
  <c r="EJ17" i="5"/>
  <c r="EK17" i="5"/>
  <c r="EL17" i="5"/>
  <c r="EM17" i="5"/>
  <c r="EN17" i="5"/>
  <c r="EO17" i="5"/>
  <c r="EP17" i="5"/>
  <c r="EQ17" i="5"/>
  <c r="ER17" i="5"/>
  <c r="ES17" i="5"/>
  <c r="ET17" i="5"/>
  <c r="EU17" i="5"/>
  <c r="EV17" i="5"/>
  <c r="EW17" i="5"/>
  <c r="EX17" i="5"/>
  <c r="EY17" i="5"/>
  <c r="EZ17" i="5"/>
  <c r="FA17" i="5"/>
  <c r="FB17" i="5"/>
  <c r="FC17" i="5"/>
  <c r="FD17" i="5"/>
  <c r="FE17" i="5"/>
  <c r="FF17" i="5"/>
  <c r="FG17" i="5"/>
  <c r="FH17" i="5"/>
  <c r="FI17" i="5"/>
  <c r="FJ17" i="5"/>
  <c r="FK17" i="5"/>
  <c r="FL17" i="5"/>
  <c r="FM17" i="5"/>
  <c r="FN17" i="5"/>
  <c r="FO17" i="5"/>
  <c r="FP17" i="5"/>
  <c r="FQ17" i="5"/>
  <c r="FR17" i="5"/>
  <c r="FS17" i="5"/>
  <c r="FT17" i="5"/>
  <c r="FU17" i="5"/>
  <c r="FV17" i="5"/>
  <c r="FW17" i="5"/>
  <c r="FX17" i="5"/>
  <c r="FY17" i="5"/>
  <c r="FZ17" i="5"/>
  <c r="GA17" i="5"/>
  <c r="GB17" i="5"/>
  <c r="GC17" i="5"/>
  <c r="GD17" i="5"/>
  <c r="GE17" i="5"/>
  <c r="GF17" i="5"/>
  <c r="GG17" i="5"/>
  <c r="GH17" i="5"/>
  <c r="GI17" i="5"/>
  <c r="GJ17" i="5"/>
  <c r="GK17" i="5"/>
  <c r="GL17" i="5"/>
  <c r="GM17" i="5"/>
  <c r="GN17" i="5"/>
  <c r="GO17" i="5"/>
  <c r="GP17" i="5"/>
  <c r="GQ17" i="5"/>
  <c r="GR17" i="5"/>
  <c r="GS17" i="5"/>
  <c r="GT17" i="5"/>
  <c r="GU17" i="5"/>
  <c r="GV17" i="5"/>
  <c r="GW17" i="5"/>
  <c r="GX17" i="5"/>
  <c r="GY17" i="5"/>
  <c r="GZ17" i="5"/>
  <c r="HA17" i="5"/>
  <c r="HB17" i="5"/>
  <c r="HC17" i="5"/>
  <c r="HD17" i="5"/>
  <c r="HE17" i="5"/>
  <c r="HF17" i="5"/>
  <c r="HG17" i="5"/>
  <c r="HH17" i="5"/>
  <c r="HI17" i="5"/>
  <c r="HJ17" i="5"/>
  <c r="HK17" i="5"/>
  <c r="HL17" i="5"/>
  <c r="HM17" i="5"/>
  <c r="HN17" i="5"/>
  <c r="HO17" i="5"/>
  <c r="HP17" i="5"/>
  <c r="HQ17" i="5"/>
  <c r="HR17" i="5"/>
  <c r="HS17" i="5"/>
  <c r="HT17" i="5"/>
  <c r="HU17" i="5"/>
  <c r="HV17" i="5"/>
  <c r="HW17" i="5"/>
  <c r="HX17" i="5"/>
  <c r="HY17" i="5"/>
  <c r="HZ17" i="5"/>
  <c r="IA17" i="5"/>
  <c r="IB17" i="5"/>
  <c r="IC17" i="5"/>
  <c r="ID17" i="5"/>
  <c r="IE17" i="5"/>
  <c r="IF17" i="5"/>
  <c r="IG17" i="5"/>
  <c r="IH17" i="5"/>
  <c r="II17" i="5"/>
  <c r="IJ17" i="5"/>
  <c r="IK17" i="5"/>
  <c r="IL17" i="5"/>
  <c r="IM17" i="5"/>
  <c r="IN17" i="5"/>
  <c r="IO17" i="5"/>
  <c r="IP17" i="5"/>
  <c r="IQ17" i="5"/>
  <c r="IR17" i="5"/>
  <c r="IS17" i="5"/>
  <c r="IT17" i="5"/>
  <c r="IU17" i="5"/>
  <c r="IV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DS18" i="5"/>
  <c r="DT18" i="5"/>
  <c r="DU18" i="5"/>
  <c r="DV18" i="5"/>
  <c r="DW18" i="5"/>
  <c r="DX18" i="5"/>
  <c r="DY18" i="5"/>
  <c r="DZ18" i="5"/>
  <c r="EA18" i="5"/>
  <c r="EB18" i="5"/>
  <c r="EC18" i="5"/>
  <c r="ED18" i="5"/>
  <c r="EE18" i="5"/>
  <c r="EF18" i="5"/>
  <c r="EG18" i="5"/>
  <c r="EH18" i="5"/>
  <c r="EI18" i="5"/>
  <c r="EJ18" i="5"/>
  <c r="EK18" i="5"/>
  <c r="EL18" i="5"/>
  <c r="EM18" i="5"/>
  <c r="EN18" i="5"/>
  <c r="EO18" i="5"/>
  <c r="EP18" i="5"/>
  <c r="EQ18" i="5"/>
  <c r="ER18" i="5"/>
  <c r="ES18" i="5"/>
  <c r="ET18" i="5"/>
  <c r="EU18" i="5"/>
  <c r="EV18" i="5"/>
  <c r="EW18" i="5"/>
  <c r="EX18" i="5"/>
  <c r="EY18" i="5"/>
  <c r="EZ18" i="5"/>
  <c r="FA18" i="5"/>
  <c r="FB18" i="5"/>
  <c r="FC18" i="5"/>
  <c r="FD18" i="5"/>
  <c r="FE18" i="5"/>
  <c r="FF18" i="5"/>
  <c r="FG18" i="5"/>
  <c r="FH18" i="5"/>
  <c r="FI18" i="5"/>
  <c r="FJ18" i="5"/>
  <c r="FK18" i="5"/>
  <c r="FL18" i="5"/>
  <c r="FM18" i="5"/>
  <c r="FN18" i="5"/>
  <c r="FO18" i="5"/>
  <c r="FP18" i="5"/>
  <c r="FQ18" i="5"/>
  <c r="FR18" i="5"/>
  <c r="FS18" i="5"/>
  <c r="FT18" i="5"/>
  <c r="FU18" i="5"/>
  <c r="FV18" i="5"/>
  <c r="FW18" i="5"/>
  <c r="FX18" i="5"/>
  <c r="FY18" i="5"/>
  <c r="FZ18" i="5"/>
  <c r="GA18" i="5"/>
  <c r="GB18" i="5"/>
  <c r="GC18" i="5"/>
  <c r="GD18" i="5"/>
  <c r="GE18" i="5"/>
  <c r="GF18" i="5"/>
  <c r="GG18" i="5"/>
  <c r="GH18" i="5"/>
  <c r="GI18" i="5"/>
  <c r="GJ18" i="5"/>
  <c r="GK18" i="5"/>
  <c r="GL18" i="5"/>
  <c r="GM18" i="5"/>
  <c r="GN18" i="5"/>
  <c r="GO18" i="5"/>
  <c r="GP18" i="5"/>
  <c r="GQ18" i="5"/>
  <c r="GR18" i="5"/>
  <c r="GS18" i="5"/>
  <c r="GT18" i="5"/>
  <c r="GU18" i="5"/>
  <c r="GV18" i="5"/>
  <c r="GW18" i="5"/>
  <c r="GX18" i="5"/>
  <c r="GY18" i="5"/>
  <c r="GZ18" i="5"/>
  <c r="HA18" i="5"/>
  <c r="HB18" i="5"/>
  <c r="HC18" i="5"/>
  <c r="HD18" i="5"/>
  <c r="HE18" i="5"/>
  <c r="HF18" i="5"/>
  <c r="HG18" i="5"/>
  <c r="HH18" i="5"/>
  <c r="HI18" i="5"/>
  <c r="HJ18" i="5"/>
  <c r="HK18" i="5"/>
  <c r="HL18" i="5"/>
  <c r="HM18" i="5"/>
  <c r="HN18" i="5"/>
  <c r="HO18" i="5"/>
  <c r="HP18" i="5"/>
  <c r="HQ18" i="5"/>
  <c r="HR18" i="5"/>
  <c r="HS18" i="5"/>
  <c r="HT18" i="5"/>
  <c r="HU18" i="5"/>
  <c r="HV18" i="5"/>
  <c r="HW18" i="5"/>
  <c r="HX18" i="5"/>
  <c r="HY18" i="5"/>
  <c r="HZ18" i="5"/>
  <c r="IA18" i="5"/>
  <c r="IB18" i="5"/>
  <c r="IC18" i="5"/>
  <c r="ID18" i="5"/>
  <c r="IE18" i="5"/>
  <c r="IF18" i="5"/>
  <c r="IG18" i="5"/>
  <c r="IH18" i="5"/>
  <c r="II18" i="5"/>
  <c r="IJ18" i="5"/>
  <c r="IK18" i="5"/>
  <c r="IL18" i="5"/>
  <c r="IM18" i="5"/>
  <c r="IN18" i="5"/>
  <c r="IO18" i="5"/>
  <c r="IP18" i="5"/>
  <c r="IQ18" i="5"/>
  <c r="IR18" i="5"/>
  <c r="IS18" i="5"/>
  <c r="IT18" i="5"/>
  <c r="IU18" i="5"/>
  <c r="IV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DI19" i="5"/>
  <c r="DJ19" i="5"/>
  <c r="DK19" i="5"/>
  <c r="DL19" i="5"/>
  <c r="DM19" i="5"/>
  <c r="DN19" i="5"/>
  <c r="DO19" i="5"/>
  <c r="DP19" i="5"/>
  <c r="DQ19" i="5"/>
  <c r="DR19" i="5"/>
  <c r="DS19" i="5"/>
  <c r="DT19" i="5"/>
  <c r="DU19" i="5"/>
  <c r="DV19" i="5"/>
  <c r="DW19" i="5"/>
  <c r="DX19" i="5"/>
  <c r="DY19" i="5"/>
  <c r="DZ19" i="5"/>
  <c r="EA19" i="5"/>
  <c r="EB19" i="5"/>
  <c r="EC19" i="5"/>
  <c r="ED19" i="5"/>
  <c r="EE19" i="5"/>
  <c r="EF19" i="5"/>
  <c r="EG19" i="5"/>
  <c r="EH19" i="5"/>
  <c r="EI19" i="5"/>
  <c r="EJ19" i="5"/>
  <c r="EK19" i="5"/>
  <c r="EL19" i="5"/>
  <c r="EM19" i="5"/>
  <c r="EN19" i="5"/>
  <c r="EO19" i="5"/>
  <c r="EP19" i="5"/>
  <c r="EQ19" i="5"/>
  <c r="ER19" i="5"/>
  <c r="ES19" i="5"/>
  <c r="ET19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FH19" i="5"/>
  <c r="FI19" i="5"/>
  <c r="FJ19" i="5"/>
  <c r="FK19" i="5"/>
  <c r="FL19" i="5"/>
  <c r="FM19" i="5"/>
  <c r="FN19" i="5"/>
  <c r="FO19" i="5"/>
  <c r="FP19" i="5"/>
  <c r="FQ19" i="5"/>
  <c r="FR19" i="5"/>
  <c r="FS19" i="5"/>
  <c r="FT19" i="5"/>
  <c r="FU19" i="5"/>
  <c r="FV19" i="5"/>
  <c r="FW19" i="5"/>
  <c r="FX19" i="5"/>
  <c r="FY19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HB19" i="5"/>
  <c r="HC19" i="5"/>
  <c r="HD19" i="5"/>
  <c r="HE19" i="5"/>
  <c r="HF19" i="5"/>
  <c r="HG19" i="5"/>
  <c r="HH19" i="5"/>
  <c r="HI19" i="5"/>
  <c r="HJ19" i="5"/>
  <c r="HK19" i="5"/>
  <c r="HL19" i="5"/>
  <c r="HM19" i="5"/>
  <c r="HN19" i="5"/>
  <c r="HO19" i="5"/>
  <c r="HP19" i="5"/>
  <c r="HQ19" i="5"/>
  <c r="HR19" i="5"/>
  <c r="HS19" i="5"/>
  <c r="HT19" i="5"/>
  <c r="HU19" i="5"/>
  <c r="HV19" i="5"/>
  <c r="HW19" i="5"/>
  <c r="HX19" i="5"/>
  <c r="HY19" i="5"/>
  <c r="HZ19" i="5"/>
  <c r="IA19" i="5"/>
  <c r="IB19" i="5"/>
  <c r="IC19" i="5"/>
  <c r="ID19" i="5"/>
  <c r="IE19" i="5"/>
  <c r="IF19" i="5"/>
  <c r="IG19" i="5"/>
  <c r="IH19" i="5"/>
  <c r="II19" i="5"/>
  <c r="IJ19" i="5"/>
  <c r="IK19" i="5"/>
  <c r="IL19" i="5"/>
  <c r="IM19" i="5"/>
  <c r="IN19" i="5"/>
  <c r="IO19" i="5"/>
  <c r="IP19" i="5"/>
  <c r="IQ19" i="5"/>
  <c r="IR19" i="5"/>
  <c r="IS19" i="5"/>
  <c r="IT19" i="5"/>
  <c r="IU19" i="5"/>
  <c r="IV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E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FH20" i="5"/>
  <c r="FI20" i="5"/>
  <c r="FJ20" i="5"/>
  <c r="FK20" i="5"/>
  <c r="FL20" i="5"/>
  <c r="FM20" i="5"/>
  <c r="FN20" i="5"/>
  <c r="FO20" i="5"/>
  <c r="FP20" i="5"/>
  <c r="FQ20" i="5"/>
  <c r="FR20" i="5"/>
  <c r="FS20" i="5"/>
  <c r="FT20" i="5"/>
  <c r="FU20" i="5"/>
  <c r="FV20" i="5"/>
  <c r="FW20" i="5"/>
  <c r="FX20" i="5"/>
  <c r="FY20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HB20" i="5"/>
  <c r="HC20" i="5"/>
  <c r="HD20" i="5"/>
  <c r="HE20" i="5"/>
  <c r="HF20" i="5"/>
  <c r="HG20" i="5"/>
  <c r="HH20" i="5"/>
  <c r="HI20" i="5"/>
  <c r="HJ20" i="5"/>
  <c r="HK20" i="5"/>
  <c r="HL20" i="5"/>
  <c r="HM20" i="5"/>
  <c r="HN20" i="5"/>
  <c r="HO20" i="5"/>
  <c r="HP20" i="5"/>
  <c r="HQ20" i="5"/>
  <c r="HR20" i="5"/>
  <c r="HS20" i="5"/>
  <c r="HT20" i="5"/>
  <c r="HU20" i="5"/>
  <c r="HV20" i="5"/>
  <c r="HW20" i="5"/>
  <c r="HX20" i="5"/>
  <c r="HY20" i="5"/>
  <c r="HZ20" i="5"/>
  <c r="IA20" i="5"/>
  <c r="IB20" i="5"/>
  <c r="IC20" i="5"/>
  <c r="ID20" i="5"/>
  <c r="IE20" i="5"/>
  <c r="IF20" i="5"/>
  <c r="IG20" i="5"/>
  <c r="IH20" i="5"/>
  <c r="II20" i="5"/>
  <c r="IJ20" i="5"/>
  <c r="IK20" i="5"/>
  <c r="IL20" i="5"/>
  <c r="IM20" i="5"/>
  <c r="IN20" i="5"/>
  <c r="IO20" i="5"/>
  <c r="IP20" i="5"/>
  <c r="IQ20" i="5"/>
  <c r="IR20" i="5"/>
  <c r="IS20" i="5"/>
  <c r="IT20" i="5"/>
  <c r="IU20" i="5"/>
  <c r="IV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DP21" i="5"/>
  <c r="DQ21" i="5"/>
  <c r="DR21" i="5"/>
  <c r="DS21" i="5"/>
  <c r="DT21" i="5"/>
  <c r="DU21" i="5"/>
  <c r="DV21" i="5"/>
  <c r="DW21" i="5"/>
  <c r="DX21" i="5"/>
  <c r="DY21" i="5"/>
  <c r="DZ21" i="5"/>
  <c r="EA21" i="5"/>
  <c r="EB21" i="5"/>
  <c r="EC21" i="5"/>
  <c r="ED21" i="5"/>
  <c r="EE21" i="5"/>
  <c r="EF21" i="5"/>
  <c r="EG21" i="5"/>
  <c r="EH21" i="5"/>
  <c r="EI21" i="5"/>
  <c r="EJ21" i="5"/>
  <c r="EK21" i="5"/>
  <c r="EL21" i="5"/>
  <c r="EM21" i="5"/>
  <c r="EN21" i="5"/>
  <c r="EO21" i="5"/>
  <c r="EP21" i="5"/>
  <c r="EQ21" i="5"/>
  <c r="ER21" i="5"/>
  <c r="ES21" i="5"/>
  <c r="ET21" i="5"/>
  <c r="EU21" i="5"/>
  <c r="EV21" i="5"/>
  <c r="EW21" i="5"/>
  <c r="EX21" i="5"/>
  <c r="EY21" i="5"/>
  <c r="EZ21" i="5"/>
  <c r="FA21" i="5"/>
  <c r="FB21" i="5"/>
  <c r="FC21" i="5"/>
  <c r="FD21" i="5"/>
  <c r="FE21" i="5"/>
  <c r="FF21" i="5"/>
  <c r="FG21" i="5"/>
  <c r="FH21" i="5"/>
  <c r="FI21" i="5"/>
  <c r="FJ21" i="5"/>
  <c r="FK21" i="5"/>
  <c r="FL21" i="5"/>
  <c r="FM21" i="5"/>
  <c r="FN21" i="5"/>
  <c r="FO21" i="5"/>
  <c r="FP21" i="5"/>
  <c r="FQ21" i="5"/>
  <c r="FR21" i="5"/>
  <c r="FS21" i="5"/>
  <c r="FT21" i="5"/>
  <c r="FU21" i="5"/>
  <c r="FV21" i="5"/>
  <c r="FW21" i="5"/>
  <c r="FX21" i="5"/>
  <c r="FY21" i="5"/>
  <c r="FZ21" i="5"/>
  <c r="GA21" i="5"/>
  <c r="GB21" i="5"/>
  <c r="GC21" i="5"/>
  <c r="GD21" i="5"/>
  <c r="GE21" i="5"/>
  <c r="GF21" i="5"/>
  <c r="GG21" i="5"/>
  <c r="GH21" i="5"/>
  <c r="GI21" i="5"/>
  <c r="GJ21" i="5"/>
  <c r="GK21" i="5"/>
  <c r="GL21" i="5"/>
  <c r="GM21" i="5"/>
  <c r="GN21" i="5"/>
  <c r="GO21" i="5"/>
  <c r="GP21" i="5"/>
  <c r="GQ21" i="5"/>
  <c r="GR21" i="5"/>
  <c r="GS21" i="5"/>
  <c r="GT21" i="5"/>
  <c r="GU21" i="5"/>
  <c r="GV21" i="5"/>
  <c r="GW21" i="5"/>
  <c r="GX21" i="5"/>
  <c r="GY21" i="5"/>
  <c r="GZ21" i="5"/>
  <c r="HA21" i="5"/>
  <c r="HB21" i="5"/>
  <c r="HC21" i="5"/>
  <c r="HD21" i="5"/>
  <c r="HE21" i="5"/>
  <c r="HF21" i="5"/>
  <c r="HG21" i="5"/>
  <c r="HH21" i="5"/>
  <c r="HI21" i="5"/>
  <c r="HJ21" i="5"/>
  <c r="HK21" i="5"/>
  <c r="HL21" i="5"/>
  <c r="HM21" i="5"/>
  <c r="HN21" i="5"/>
  <c r="HO21" i="5"/>
  <c r="HP21" i="5"/>
  <c r="HQ21" i="5"/>
  <c r="HR21" i="5"/>
  <c r="HS21" i="5"/>
  <c r="HT21" i="5"/>
  <c r="HU21" i="5"/>
  <c r="HV21" i="5"/>
  <c r="HW21" i="5"/>
  <c r="HX21" i="5"/>
  <c r="HY21" i="5"/>
  <c r="HZ21" i="5"/>
  <c r="IA21" i="5"/>
  <c r="IB21" i="5"/>
  <c r="IC21" i="5"/>
  <c r="ID21" i="5"/>
  <c r="IE21" i="5"/>
  <c r="IF21" i="5"/>
  <c r="IG21" i="5"/>
  <c r="IH21" i="5"/>
  <c r="II21" i="5"/>
  <c r="IJ21" i="5"/>
  <c r="IK21" i="5"/>
  <c r="IL21" i="5"/>
  <c r="IM21" i="5"/>
  <c r="IN21" i="5"/>
  <c r="IO21" i="5"/>
  <c r="IP21" i="5"/>
  <c r="IQ21" i="5"/>
  <c r="IR21" i="5"/>
  <c r="IS21" i="5"/>
  <c r="IT21" i="5"/>
  <c r="IU21" i="5"/>
  <c r="IV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O22" i="5"/>
  <c r="EP22" i="5"/>
  <c r="EQ22" i="5"/>
  <c r="ER22" i="5"/>
  <c r="ES22" i="5"/>
  <c r="ET22" i="5"/>
  <c r="EU22" i="5"/>
  <c r="EV22" i="5"/>
  <c r="EW22" i="5"/>
  <c r="EX22" i="5"/>
  <c r="EY22" i="5"/>
  <c r="EZ2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M22" i="5"/>
  <c r="FN22" i="5"/>
  <c r="FO22" i="5"/>
  <c r="FP22" i="5"/>
  <c r="FQ22" i="5"/>
  <c r="FR22" i="5"/>
  <c r="FS22" i="5"/>
  <c r="FT22" i="5"/>
  <c r="FU22" i="5"/>
  <c r="FV22" i="5"/>
  <c r="FW22" i="5"/>
  <c r="FX22" i="5"/>
  <c r="FY22" i="5"/>
  <c r="FZ22" i="5"/>
  <c r="GA22" i="5"/>
  <c r="GB22" i="5"/>
  <c r="GC22" i="5"/>
  <c r="GD22" i="5"/>
  <c r="GE22" i="5"/>
  <c r="GF22" i="5"/>
  <c r="GG22" i="5"/>
  <c r="GH22" i="5"/>
  <c r="GI22" i="5"/>
  <c r="GJ22" i="5"/>
  <c r="GK22" i="5"/>
  <c r="GL22" i="5"/>
  <c r="GM22" i="5"/>
  <c r="GN22" i="5"/>
  <c r="GO22" i="5"/>
  <c r="GP22" i="5"/>
  <c r="GQ22" i="5"/>
  <c r="GR22" i="5"/>
  <c r="GS22" i="5"/>
  <c r="GT22" i="5"/>
  <c r="GU22" i="5"/>
  <c r="GV22" i="5"/>
  <c r="GW22" i="5"/>
  <c r="GX22" i="5"/>
  <c r="GY22" i="5"/>
  <c r="GZ22" i="5"/>
  <c r="HA22" i="5"/>
  <c r="HB22" i="5"/>
  <c r="HC22" i="5"/>
  <c r="HD22" i="5"/>
  <c r="HE22" i="5"/>
  <c r="HF22" i="5"/>
  <c r="HG22" i="5"/>
  <c r="HH22" i="5"/>
  <c r="HI22" i="5"/>
  <c r="HJ22" i="5"/>
  <c r="HK22" i="5"/>
  <c r="HL22" i="5"/>
  <c r="HM22" i="5"/>
  <c r="HN22" i="5"/>
  <c r="HO22" i="5"/>
  <c r="HP22" i="5"/>
  <c r="HQ22" i="5"/>
  <c r="HR22" i="5"/>
  <c r="HS22" i="5"/>
  <c r="HT22" i="5"/>
  <c r="HU22" i="5"/>
  <c r="HV22" i="5"/>
  <c r="HW22" i="5"/>
  <c r="HX22" i="5"/>
  <c r="HY22" i="5"/>
  <c r="HZ22" i="5"/>
  <c r="IA22" i="5"/>
  <c r="IB22" i="5"/>
  <c r="IC22" i="5"/>
  <c r="ID22" i="5"/>
  <c r="IE22" i="5"/>
  <c r="IF22" i="5"/>
  <c r="IG22" i="5"/>
  <c r="IH22" i="5"/>
  <c r="II22" i="5"/>
  <c r="IJ22" i="5"/>
  <c r="IK22" i="5"/>
  <c r="IL22" i="5"/>
  <c r="IM22" i="5"/>
  <c r="IN22" i="5"/>
  <c r="IO22" i="5"/>
  <c r="IP22" i="5"/>
  <c r="IQ22" i="5"/>
  <c r="IR22" i="5"/>
  <c r="IS22" i="5"/>
  <c r="IT22" i="5"/>
  <c r="IU22" i="5"/>
  <c r="IV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DQ23" i="5"/>
  <c r="DR23" i="5"/>
  <c r="DS23" i="5"/>
  <c r="DT23" i="5"/>
  <c r="DU23" i="5"/>
  <c r="DV23" i="5"/>
  <c r="DW23" i="5"/>
  <c r="DX23" i="5"/>
  <c r="DY23" i="5"/>
  <c r="DZ23" i="5"/>
  <c r="EA23" i="5"/>
  <c r="EB23" i="5"/>
  <c r="EC23" i="5"/>
  <c r="ED23" i="5"/>
  <c r="EE23" i="5"/>
  <c r="EF23" i="5"/>
  <c r="EG23" i="5"/>
  <c r="EH23" i="5"/>
  <c r="EI23" i="5"/>
  <c r="EJ23" i="5"/>
  <c r="EK23" i="5"/>
  <c r="EL23" i="5"/>
  <c r="EM23" i="5"/>
  <c r="EN23" i="5"/>
  <c r="EO23" i="5"/>
  <c r="EP23" i="5"/>
  <c r="EQ23" i="5"/>
  <c r="ER23" i="5"/>
  <c r="ES23" i="5"/>
  <c r="ET23" i="5"/>
  <c r="EU23" i="5"/>
  <c r="EV23" i="5"/>
  <c r="EW23" i="5"/>
  <c r="EX23" i="5"/>
  <c r="EY23" i="5"/>
  <c r="EZ23" i="5"/>
  <c r="FA23" i="5"/>
  <c r="FB23" i="5"/>
  <c r="FC23" i="5"/>
  <c r="FD23" i="5"/>
  <c r="FE23" i="5"/>
  <c r="FF23" i="5"/>
  <c r="FG23" i="5"/>
  <c r="FH23" i="5"/>
  <c r="FI23" i="5"/>
  <c r="FJ23" i="5"/>
  <c r="FK23" i="5"/>
  <c r="FL23" i="5"/>
  <c r="FM23" i="5"/>
  <c r="FN23" i="5"/>
  <c r="FO23" i="5"/>
  <c r="FP23" i="5"/>
  <c r="FQ23" i="5"/>
  <c r="FR23" i="5"/>
  <c r="FS23" i="5"/>
  <c r="FT23" i="5"/>
  <c r="FU23" i="5"/>
  <c r="FV23" i="5"/>
  <c r="FW23" i="5"/>
  <c r="FX23" i="5"/>
  <c r="FY23" i="5"/>
  <c r="FZ23" i="5"/>
  <c r="GA23" i="5"/>
  <c r="GB23" i="5"/>
  <c r="GC23" i="5"/>
  <c r="GD23" i="5"/>
  <c r="GE23" i="5"/>
  <c r="GF23" i="5"/>
  <c r="GG23" i="5"/>
  <c r="GH23" i="5"/>
  <c r="GI23" i="5"/>
  <c r="GJ23" i="5"/>
  <c r="GK23" i="5"/>
  <c r="GL23" i="5"/>
  <c r="GM23" i="5"/>
  <c r="GN23" i="5"/>
  <c r="GO23" i="5"/>
  <c r="GP23" i="5"/>
  <c r="GQ23" i="5"/>
  <c r="GR23" i="5"/>
  <c r="GS23" i="5"/>
  <c r="GT23" i="5"/>
  <c r="GU23" i="5"/>
  <c r="GV23" i="5"/>
  <c r="GW23" i="5"/>
  <c r="GX23" i="5"/>
  <c r="GY23" i="5"/>
  <c r="GZ23" i="5"/>
  <c r="HA23" i="5"/>
  <c r="HB23" i="5"/>
  <c r="HC23" i="5"/>
  <c r="HD23" i="5"/>
  <c r="HE23" i="5"/>
  <c r="HF23" i="5"/>
  <c r="HG23" i="5"/>
  <c r="HH23" i="5"/>
  <c r="HI23" i="5"/>
  <c r="HJ23" i="5"/>
  <c r="HK23" i="5"/>
  <c r="HL23" i="5"/>
  <c r="HM23" i="5"/>
  <c r="HN23" i="5"/>
  <c r="HO23" i="5"/>
  <c r="HP23" i="5"/>
  <c r="HQ23" i="5"/>
  <c r="HR23" i="5"/>
  <c r="HS23" i="5"/>
  <c r="HT23" i="5"/>
  <c r="HU23" i="5"/>
  <c r="HV23" i="5"/>
  <c r="HW23" i="5"/>
  <c r="HX23" i="5"/>
  <c r="HY23" i="5"/>
  <c r="HZ23" i="5"/>
  <c r="IA23" i="5"/>
  <c r="IB23" i="5"/>
  <c r="IC23" i="5"/>
  <c r="ID23" i="5"/>
  <c r="IE23" i="5"/>
  <c r="IF23" i="5"/>
  <c r="IG23" i="5"/>
  <c r="IH23" i="5"/>
  <c r="II23" i="5"/>
  <c r="IJ23" i="5"/>
  <c r="IK23" i="5"/>
  <c r="IL23" i="5"/>
  <c r="IM23" i="5"/>
  <c r="IN23" i="5"/>
  <c r="IO23" i="5"/>
  <c r="IP23" i="5"/>
  <c r="IQ23" i="5"/>
  <c r="IR23" i="5"/>
  <c r="IS23" i="5"/>
  <c r="IT23" i="5"/>
  <c r="IU23" i="5"/>
  <c r="IV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E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EW24" i="5"/>
  <c r="EX24" i="5"/>
  <c r="EY24" i="5"/>
  <c r="EZ24" i="5"/>
  <c r="FA24" i="5"/>
  <c r="FB24" i="5"/>
  <c r="FC24" i="5"/>
  <c r="FD24" i="5"/>
  <c r="FE24" i="5"/>
  <c r="FF24" i="5"/>
  <c r="FG24" i="5"/>
  <c r="FH24" i="5"/>
  <c r="FI24" i="5"/>
  <c r="FJ24" i="5"/>
  <c r="FK24" i="5"/>
  <c r="FL24" i="5"/>
  <c r="FM24" i="5"/>
  <c r="FN24" i="5"/>
  <c r="FO24" i="5"/>
  <c r="FP24" i="5"/>
  <c r="FQ24" i="5"/>
  <c r="FR24" i="5"/>
  <c r="FS24" i="5"/>
  <c r="FT24" i="5"/>
  <c r="FU24" i="5"/>
  <c r="FV24" i="5"/>
  <c r="FW24" i="5"/>
  <c r="FX24" i="5"/>
  <c r="FY24" i="5"/>
  <c r="FZ24" i="5"/>
  <c r="GA24" i="5"/>
  <c r="GB24" i="5"/>
  <c r="GC24" i="5"/>
  <c r="GD24" i="5"/>
  <c r="GE24" i="5"/>
  <c r="GF24" i="5"/>
  <c r="GG24" i="5"/>
  <c r="GH24" i="5"/>
  <c r="GI24" i="5"/>
  <c r="GJ24" i="5"/>
  <c r="GK24" i="5"/>
  <c r="GL24" i="5"/>
  <c r="GM24" i="5"/>
  <c r="GN24" i="5"/>
  <c r="GO24" i="5"/>
  <c r="GP24" i="5"/>
  <c r="GQ24" i="5"/>
  <c r="GR24" i="5"/>
  <c r="GS24" i="5"/>
  <c r="GT24" i="5"/>
  <c r="GU24" i="5"/>
  <c r="GV24" i="5"/>
  <c r="GW24" i="5"/>
  <c r="GX24" i="5"/>
  <c r="GY24" i="5"/>
  <c r="GZ24" i="5"/>
  <c r="HA24" i="5"/>
  <c r="HB24" i="5"/>
  <c r="HC24" i="5"/>
  <c r="HD24" i="5"/>
  <c r="HE24" i="5"/>
  <c r="HF24" i="5"/>
  <c r="HG24" i="5"/>
  <c r="HH24" i="5"/>
  <c r="HI24" i="5"/>
  <c r="HJ24" i="5"/>
  <c r="HK24" i="5"/>
  <c r="HL24" i="5"/>
  <c r="HM24" i="5"/>
  <c r="HN24" i="5"/>
  <c r="HO24" i="5"/>
  <c r="HP24" i="5"/>
  <c r="HQ24" i="5"/>
  <c r="HR24" i="5"/>
  <c r="HS24" i="5"/>
  <c r="HT24" i="5"/>
  <c r="HU24" i="5"/>
  <c r="HV24" i="5"/>
  <c r="HW24" i="5"/>
  <c r="HX24" i="5"/>
  <c r="HY24" i="5"/>
  <c r="HZ24" i="5"/>
  <c r="IA24" i="5"/>
  <c r="IB24" i="5"/>
  <c r="IC24" i="5"/>
  <c r="ID24" i="5"/>
  <c r="IE24" i="5"/>
  <c r="IF24" i="5"/>
  <c r="IG24" i="5"/>
  <c r="IH24" i="5"/>
  <c r="II24" i="5"/>
  <c r="IJ24" i="5"/>
  <c r="IK24" i="5"/>
  <c r="IL24" i="5"/>
  <c r="IM24" i="5"/>
  <c r="IN24" i="5"/>
  <c r="IO24" i="5"/>
  <c r="IP24" i="5"/>
  <c r="IQ24" i="5"/>
  <c r="IR24" i="5"/>
  <c r="IS24" i="5"/>
  <c r="IT24" i="5"/>
  <c r="IU24" i="5"/>
  <c r="IV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DM25" i="5"/>
  <c r="DN25" i="5"/>
  <c r="DO25" i="5"/>
  <c r="DP25" i="5"/>
  <c r="DQ25" i="5"/>
  <c r="DR25" i="5"/>
  <c r="DS25" i="5"/>
  <c r="DT25" i="5"/>
  <c r="DU25" i="5"/>
  <c r="DV25" i="5"/>
  <c r="DW25" i="5"/>
  <c r="DX25" i="5"/>
  <c r="DY25" i="5"/>
  <c r="DZ25" i="5"/>
  <c r="EA25" i="5"/>
  <c r="EB25" i="5"/>
  <c r="EC25" i="5"/>
  <c r="ED25" i="5"/>
  <c r="EE25" i="5"/>
  <c r="EF25" i="5"/>
  <c r="EG25" i="5"/>
  <c r="EH25" i="5"/>
  <c r="EI25" i="5"/>
  <c r="EJ25" i="5"/>
  <c r="EK25" i="5"/>
  <c r="EL25" i="5"/>
  <c r="EM25" i="5"/>
  <c r="EN25" i="5"/>
  <c r="EO25" i="5"/>
  <c r="EP25" i="5"/>
  <c r="EQ25" i="5"/>
  <c r="ER25" i="5"/>
  <c r="ES25" i="5"/>
  <c r="ET25" i="5"/>
  <c r="EU25" i="5"/>
  <c r="EV25" i="5"/>
  <c r="EW25" i="5"/>
  <c r="EX25" i="5"/>
  <c r="EY25" i="5"/>
  <c r="EZ25" i="5"/>
  <c r="FA25" i="5"/>
  <c r="FB25" i="5"/>
  <c r="FC25" i="5"/>
  <c r="FD25" i="5"/>
  <c r="FE25" i="5"/>
  <c r="FF25" i="5"/>
  <c r="FG25" i="5"/>
  <c r="FH25" i="5"/>
  <c r="FI25" i="5"/>
  <c r="FJ25" i="5"/>
  <c r="FK25" i="5"/>
  <c r="FL25" i="5"/>
  <c r="FM25" i="5"/>
  <c r="FN25" i="5"/>
  <c r="FO25" i="5"/>
  <c r="FP25" i="5"/>
  <c r="FQ25" i="5"/>
  <c r="FR25" i="5"/>
  <c r="FS25" i="5"/>
  <c r="FT25" i="5"/>
  <c r="FU25" i="5"/>
  <c r="FV25" i="5"/>
  <c r="FW25" i="5"/>
  <c r="FX25" i="5"/>
  <c r="FY25" i="5"/>
  <c r="FZ25" i="5"/>
  <c r="GA25" i="5"/>
  <c r="GB25" i="5"/>
  <c r="GC25" i="5"/>
  <c r="GD25" i="5"/>
  <c r="GE25" i="5"/>
  <c r="GF25" i="5"/>
  <c r="GG25" i="5"/>
  <c r="GH25" i="5"/>
  <c r="GI25" i="5"/>
  <c r="GJ25" i="5"/>
  <c r="GK25" i="5"/>
  <c r="GL25" i="5"/>
  <c r="GM25" i="5"/>
  <c r="GN25" i="5"/>
  <c r="GO25" i="5"/>
  <c r="GP25" i="5"/>
  <c r="GQ25" i="5"/>
  <c r="GR25" i="5"/>
  <c r="GS25" i="5"/>
  <c r="GT25" i="5"/>
  <c r="GU25" i="5"/>
  <c r="GV25" i="5"/>
  <c r="GW25" i="5"/>
  <c r="GX25" i="5"/>
  <c r="GY25" i="5"/>
  <c r="GZ25" i="5"/>
  <c r="HA25" i="5"/>
  <c r="HB25" i="5"/>
  <c r="HC25" i="5"/>
  <c r="HD25" i="5"/>
  <c r="HE25" i="5"/>
  <c r="HF25" i="5"/>
  <c r="HG25" i="5"/>
  <c r="HH25" i="5"/>
  <c r="HI25" i="5"/>
  <c r="HJ25" i="5"/>
  <c r="HK25" i="5"/>
  <c r="HL25" i="5"/>
  <c r="HM25" i="5"/>
  <c r="HN25" i="5"/>
  <c r="HO25" i="5"/>
  <c r="HP25" i="5"/>
  <c r="HQ25" i="5"/>
  <c r="HR25" i="5"/>
  <c r="HS25" i="5"/>
  <c r="HT25" i="5"/>
  <c r="HU25" i="5"/>
  <c r="HV25" i="5"/>
  <c r="HW25" i="5"/>
  <c r="HX25" i="5"/>
  <c r="HY25" i="5"/>
  <c r="HZ25" i="5"/>
  <c r="IA25" i="5"/>
  <c r="IB25" i="5"/>
  <c r="IC25" i="5"/>
  <c r="ID25" i="5"/>
  <c r="IE25" i="5"/>
  <c r="IF25" i="5"/>
  <c r="IG25" i="5"/>
  <c r="IH25" i="5"/>
  <c r="II25" i="5"/>
  <c r="IJ25" i="5"/>
  <c r="IK25" i="5"/>
  <c r="IL25" i="5"/>
  <c r="IM25" i="5"/>
  <c r="IN25" i="5"/>
  <c r="IO25" i="5"/>
  <c r="IP25" i="5"/>
  <c r="IQ25" i="5"/>
  <c r="IR25" i="5"/>
  <c r="IS25" i="5"/>
  <c r="IT25" i="5"/>
  <c r="IU25" i="5"/>
  <c r="IV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DM26" i="5"/>
  <c r="DN26" i="5"/>
  <c r="DO26" i="5"/>
  <c r="DP26" i="5"/>
  <c r="DQ26" i="5"/>
  <c r="DR26" i="5"/>
  <c r="DS26" i="5"/>
  <c r="DT26" i="5"/>
  <c r="DU26" i="5"/>
  <c r="DV26" i="5"/>
  <c r="DW26" i="5"/>
  <c r="DX26" i="5"/>
  <c r="DY26" i="5"/>
  <c r="DZ26" i="5"/>
  <c r="EA26" i="5"/>
  <c r="EB26" i="5"/>
  <c r="EC26" i="5"/>
  <c r="ED26" i="5"/>
  <c r="EE26" i="5"/>
  <c r="EF26" i="5"/>
  <c r="EG26" i="5"/>
  <c r="EH26" i="5"/>
  <c r="EI26" i="5"/>
  <c r="EJ26" i="5"/>
  <c r="EK26" i="5"/>
  <c r="EL26" i="5"/>
  <c r="EM26" i="5"/>
  <c r="EN26" i="5"/>
  <c r="EO26" i="5"/>
  <c r="EP26" i="5"/>
  <c r="EQ26" i="5"/>
  <c r="ER26" i="5"/>
  <c r="ES26" i="5"/>
  <c r="ET26" i="5"/>
  <c r="EU26" i="5"/>
  <c r="EV26" i="5"/>
  <c r="EW26" i="5"/>
  <c r="EX26" i="5"/>
  <c r="EY26" i="5"/>
  <c r="EZ26" i="5"/>
  <c r="FA26" i="5"/>
  <c r="FB26" i="5"/>
  <c r="FC26" i="5"/>
  <c r="FD26" i="5"/>
  <c r="FE26" i="5"/>
  <c r="FF26" i="5"/>
  <c r="FG26" i="5"/>
  <c r="FH26" i="5"/>
  <c r="FI26" i="5"/>
  <c r="FJ26" i="5"/>
  <c r="FK26" i="5"/>
  <c r="FL26" i="5"/>
  <c r="FM26" i="5"/>
  <c r="FN26" i="5"/>
  <c r="FO26" i="5"/>
  <c r="FP26" i="5"/>
  <c r="FQ26" i="5"/>
  <c r="FR26" i="5"/>
  <c r="FS26" i="5"/>
  <c r="FT26" i="5"/>
  <c r="FU26" i="5"/>
  <c r="FV26" i="5"/>
  <c r="FW26" i="5"/>
  <c r="FX26" i="5"/>
  <c r="FY26" i="5"/>
  <c r="FZ26" i="5"/>
  <c r="GA26" i="5"/>
  <c r="GB26" i="5"/>
  <c r="GC26" i="5"/>
  <c r="GD26" i="5"/>
  <c r="GE26" i="5"/>
  <c r="GF26" i="5"/>
  <c r="GG26" i="5"/>
  <c r="GH26" i="5"/>
  <c r="GI26" i="5"/>
  <c r="GJ26" i="5"/>
  <c r="GK26" i="5"/>
  <c r="GL26" i="5"/>
  <c r="GM26" i="5"/>
  <c r="GN26" i="5"/>
  <c r="GO26" i="5"/>
  <c r="GP26" i="5"/>
  <c r="GQ26" i="5"/>
  <c r="GR26" i="5"/>
  <c r="GS26" i="5"/>
  <c r="GT26" i="5"/>
  <c r="GU26" i="5"/>
  <c r="GV26" i="5"/>
  <c r="GW26" i="5"/>
  <c r="GX26" i="5"/>
  <c r="GY26" i="5"/>
  <c r="GZ26" i="5"/>
  <c r="HA26" i="5"/>
  <c r="HB26" i="5"/>
  <c r="HC26" i="5"/>
  <c r="HD26" i="5"/>
  <c r="HE26" i="5"/>
  <c r="HF26" i="5"/>
  <c r="HG26" i="5"/>
  <c r="HH26" i="5"/>
  <c r="HI26" i="5"/>
  <c r="HJ26" i="5"/>
  <c r="HK26" i="5"/>
  <c r="HL26" i="5"/>
  <c r="HM26" i="5"/>
  <c r="HN26" i="5"/>
  <c r="HO26" i="5"/>
  <c r="HP26" i="5"/>
  <c r="HQ26" i="5"/>
  <c r="HR26" i="5"/>
  <c r="HS26" i="5"/>
  <c r="HT26" i="5"/>
  <c r="HU26" i="5"/>
  <c r="HV26" i="5"/>
  <c r="HW26" i="5"/>
  <c r="HX26" i="5"/>
  <c r="HY26" i="5"/>
  <c r="HZ26" i="5"/>
  <c r="IA26" i="5"/>
  <c r="IB26" i="5"/>
  <c r="IC26" i="5"/>
  <c r="ID26" i="5"/>
  <c r="IE26" i="5"/>
  <c r="IF26" i="5"/>
  <c r="IG26" i="5"/>
  <c r="IH26" i="5"/>
  <c r="II26" i="5"/>
  <c r="IJ26" i="5"/>
  <c r="IK26" i="5"/>
  <c r="IL26" i="5"/>
  <c r="IM26" i="5"/>
  <c r="IN26" i="5"/>
  <c r="IO26" i="5"/>
  <c r="IP26" i="5"/>
  <c r="IQ26" i="5"/>
  <c r="IR26" i="5"/>
  <c r="IS26" i="5"/>
  <c r="IT26" i="5"/>
  <c r="IU26" i="5"/>
  <c r="IV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DF27" i="5"/>
  <c r="DG27" i="5"/>
  <c r="DH27" i="5"/>
  <c r="DI27" i="5"/>
  <c r="DJ27" i="5"/>
  <c r="DK27" i="5"/>
  <c r="DL27" i="5"/>
  <c r="DM27" i="5"/>
  <c r="DN27" i="5"/>
  <c r="DO27" i="5"/>
  <c r="DP27" i="5"/>
  <c r="DQ27" i="5"/>
  <c r="DR27" i="5"/>
  <c r="DS27" i="5"/>
  <c r="DT27" i="5"/>
  <c r="DU27" i="5"/>
  <c r="DV27" i="5"/>
  <c r="DW27" i="5"/>
  <c r="DX27" i="5"/>
  <c r="DY27" i="5"/>
  <c r="DZ27" i="5"/>
  <c r="EA27" i="5"/>
  <c r="EB27" i="5"/>
  <c r="EC27" i="5"/>
  <c r="ED27" i="5"/>
  <c r="EE27" i="5"/>
  <c r="EF27" i="5"/>
  <c r="EG27" i="5"/>
  <c r="EH27" i="5"/>
  <c r="EI27" i="5"/>
  <c r="EJ27" i="5"/>
  <c r="EK27" i="5"/>
  <c r="EL27" i="5"/>
  <c r="EM27" i="5"/>
  <c r="EN27" i="5"/>
  <c r="EO27" i="5"/>
  <c r="EP27" i="5"/>
  <c r="EQ27" i="5"/>
  <c r="ER27" i="5"/>
  <c r="ES27" i="5"/>
  <c r="ET27" i="5"/>
  <c r="EU27" i="5"/>
  <c r="EV27" i="5"/>
  <c r="EW27" i="5"/>
  <c r="EX27" i="5"/>
  <c r="EY27" i="5"/>
  <c r="EZ27" i="5"/>
  <c r="FA27" i="5"/>
  <c r="FB27" i="5"/>
  <c r="FC27" i="5"/>
  <c r="FD27" i="5"/>
  <c r="FE27" i="5"/>
  <c r="FF27" i="5"/>
  <c r="FG27" i="5"/>
  <c r="FH27" i="5"/>
  <c r="FI27" i="5"/>
  <c r="FJ27" i="5"/>
  <c r="FK27" i="5"/>
  <c r="FL27" i="5"/>
  <c r="FM27" i="5"/>
  <c r="FN27" i="5"/>
  <c r="FO27" i="5"/>
  <c r="FP27" i="5"/>
  <c r="FQ27" i="5"/>
  <c r="FR27" i="5"/>
  <c r="FS27" i="5"/>
  <c r="FT27" i="5"/>
  <c r="FU27" i="5"/>
  <c r="FV27" i="5"/>
  <c r="FW27" i="5"/>
  <c r="FX27" i="5"/>
  <c r="FY27" i="5"/>
  <c r="FZ27" i="5"/>
  <c r="GA27" i="5"/>
  <c r="GB27" i="5"/>
  <c r="GC27" i="5"/>
  <c r="GD27" i="5"/>
  <c r="GE27" i="5"/>
  <c r="GF27" i="5"/>
  <c r="GG27" i="5"/>
  <c r="GH27" i="5"/>
  <c r="GI27" i="5"/>
  <c r="GJ27" i="5"/>
  <c r="GK27" i="5"/>
  <c r="GL27" i="5"/>
  <c r="GM27" i="5"/>
  <c r="GN27" i="5"/>
  <c r="GO27" i="5"/>
  <c r="GP27" i="5"/>
  <c r="GQ27" i="5"/>
  <c r="GR27" i="5"/>
  <c r="GS27" i="5"/>
  <c r="GT27" i="5"/>
  <c r="GU27" i="5"/>
  <c r="GV27" i="5"/>
  <c r="GW27" i="5"/>
  <c r="GX27" i="5"/>
  <c r="GY27" i="5"/>
  <c r="GZ27" i="5"/>
  <c r="HA27" i="5"/>
  <c r="HB27" i="5"/>
  <c r="HC27" i="5"/>
  <c r="HD27" i="5"/>
  <c r="HE27" i="5"/>
  <c r="HF27" i="5"/>
  <c r="HG27" i="5"/>
  <c r="HH27" i="5"/>
  <c r="HI27" i="5"/>
  <c r="HJ27" i="5"/>
  <c r="HK27" i="5"/>
  <c r="HL27" i="5"/>
  <c r="HM27" i="5"/>
  <c r="HN27" i="5"/>
  <c r="HO27" i="5"/>
  <c r="HP27" i="5"/>
  <c r="HQ27" i="5"/>
  <c r="HR27" i="5"/>
  <c r="HS27" i="5"/>
  <c r="HT27" i="5"/>
  <c r="HU27" i="5"/>
  <c r="HV27" i="5"/>
  <c r="HW27" i="5"/>
  <c r="HX27" i="5"/>
  <c r="HY27" i="5"/>
  <c r="HZ27" i="5"/>
  <c r="IA27" i="5"/>
  <c r="IB27" i="5"/>
  <c r="IC27" i="5"/>
  <c r="ID27" i="5"/>
  <c r="IE27" i="5"/>
  <c r="IF27" i="5"/>
  <c r="IG27" i="5"/>
  <c r="IH27" i="5"/>
  <c r="II27" i="5"/>
  <c r="IJ27" i="5"/>
  <c r="IK27" i="5"/>
  <c r="IL27" i="5"/>
  <c r="IM27" i="5"/>
  <c r="IN27" i="5"/>
  <c r="IO27" i="5"/>
  <c r="IP27" i="5"/>
  <c r="IQ27" i="5"/>
  <c r="IR27" i="5"/>
  <c r="IS27" i="5"/>
  <c r="IT27" i="5"/>
  <c r="IU27" i="5"/>
  <c r="IV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DW29" i="5"/>
  <c r="DX29" i="5"/>
  <c r="DY29" i="5"/>
  <c r="DZ29" i="5"/>
  <c r="EA29" i="5"/>
  <c r="EB29" i="5"/>
  <c r="EC29" i="5"/>
  <c r="ED29" i="5"/>
  <c r="EE29" i="5"/>
  <c r="EF29" i="5"/>
  <c r="EG29" i="5"/>
  <c r="EH29" i="5"/>
  <c r="EI29" i="5"/>
  <c r="EJ29" i="5"/>
  <c r="EK29" i="5"/>
  <c r="EL29" i="5"/>
  <c r="EM29" i="5"/>
  <c r="EN29" i="5"/>
  <c r="EO29" i="5"/>
  <c r="EP29" i="5"/>
  <c r="EQ29" i="5"/>
  <c r="ER29" i="5"/>
  <c r="ES29" i="5"/>
  <c r="ET29" i="5"/>
  <c r="EU29" i="5"/>
  <c r="EV29" i="5"/>
  <c r="EW29" i="5"/>
  <c r="EX29" i="5"/>
  <c r="EY29" i="5"/>
  <c r="EZ29" i="5"/>
  <c r="FA29" i="5"/>
  <c r="FB29" i="5"/>
  <c r="FC29" i="5"/>
  <c r="FD29" i="5"/>
  <c r="FE29" i="5"/>
  <c r="FF29" i="5"/>
  <c r="FG29" i="5"/>
  <c r="FH29" i="5"/>
  <c r="FI29" i="5"/>
  <c r="FJ29" i="5"/>
  <c r="FK29" i="5"/>
  <c r="FL29" i="5"/>
  <c r="FM29" i="5"/>
  <c r="FN29" i="5"/>
  <c r="FO29" i="5"/>
  <c r="FP29" i="5"/>
  <c r="FQ29" i="5"/>
  <c r="FR29" i="5"/>
  <c r="FS29" i="5"/>
  <c r="FT29" i="5"/>
  <c r="FU29" i="5"/>
  <c r="FV29" i="5"/>
  <c r="FW29" i="5"/>
  <c r="FX29" i="5"/>
  <c r="FY29" i="5"/>
  <c r="FZ29" i="5"/>
  <c r="GA29" i="5"/>
  <c r="GB29" i="5"/>
  <c r="GC29" i="5"/>
  <c r="GD29" i="5"/>
  <c r="GE29" i="5"/>
  <c r="GF29" i="5"/>
  <c r="GG29" i="5"/>
  <c r="GH29" i="5"/>
  <c r="GI29" i="5"/>
  <c r="GJ29" i="5"/>
  <c r="GK29" i="5"/>
  <c r="GL29" i="5"/>
  <c r="GM29" i="5"/>
  <c r="GN29" i="5"/>
  <c r="GO29" i="5"/>
  <c r="GP29" i="5"/>
  <c r="GQ29" i="5"/>
  <c r="GR29" i="5"/>
  <c r="GS29" i="5"/>
  <c r="GT29" i="5"/>
  <c r="GU29" i="5"/>
  <c r="GV29" i="5"/>
  <c r="GW29" i="5"/>
  <c r="GX29" i="5"/>
  <c r="GY29" i="5"/>
  <c r="GZ29" i="5"/>
  <c r="HA29" i="5"/>
  <c r="HB29" i="5"/>
  <c r="HC29" i="5"/>
  <c r="HD29" i="5"/>
  <c r="HE29" i="5"/>
  <c r="HF29" i="5"/>
  <c r="HG29" i="5"/>
  <c r="HH29" i="5"/>
  <c r="HI29" i="5"/>
  <c r="HJ29" i="5"/>
  <c r="HK29" i="5"/>
  <c r="HL29" i="5"/>
  <c r="HM29" i="5"/>
  <c r="HN29" i="5"/>
  <c r="HO29" i="5"/>
  <c r="HP29" i="5"/>
  <c r="HQ29" i="5"/>
  <c r="HR29" i="5"/>
  <c r="HS29" i="5"/>
  <c r="HT29" i="5"/>
  <c r="HU29" i="5"/>
  <c r="HV29" i="5"/>
  <c r="HW29" i="5"/>
  <c r="HX29" i="5"/>
  <c r="HY29" i="5"/>
  <c r="HZ29" i="5"/>
  <c r="IA29" i="5"/>
  <c r="IB29" i="5"/>
  <c r="IC29" i="5"/>
  <c r="ID29" i="5"/>
  <c r="IE29" i="5"/>
  <c r="IF29" i="5"/>
  <c r="IG29" i="5"/>
  <c r="IH29" i="5"/>
  <c r="II29" i="5"/>
  <c r="IJ29" i="5"/>
  <c r="IK29" i="5"/>
  <c r="IL29" i="5"/>
  <c r="IM29" i="5"/>
  <c r="IN29" i="5"/>
  <c r="IO29" i="5"/>
  <c r="IP29" i="5"/>
  <c r="IQ29" i="5"/>
  <c r="IR29" i="5"/>
  <c r="IS29" i="5"/>
  <c r="IT29" i="5"/>
  <c r="IU29" i="5"/>
  <c r="IV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DF30" i="5"/>
  <c r="DG30" i="5"/>
  <c r="DH30" i="5"/>
  <c r="DI30" i="5"/>
  <c r="DJ30" i="5"/>
  <c r="DK30" i="5"/>
  <c r="DL30" i="5"/>
  <c r="DM30" i="5"/>
  <c r="DN30" i="5"/>
  <c r="DO30" i="5"/>
  <c r="DP30" i="5"/>
  <c r="DQ30" i="5"/>
  <c r="DR30" i="5"/>
  <c r="DS30" i="5"/>
  <c r="DT30" i="5"/>
  <c r="DU30" i="5"/>
  <c r="DV30" i="5"/>
  <c r="DW30" i="5"/>
  <c r="DX30" i="5"/>
  <c r="DY30" i="5"/>
  <c r="DZ30" i="5"/>
  <c r="EA30" i="5"/>
  <c r="EB30" i="5"/>
  <c r="EC30" i="5"/>
  <c r="ED30" i="5"/>
  <c r="EE30" i="5"/>
  <c r="EF30" i="5"/>
  <c r="EG30" i="5"/>
  <c r="EH30" i="5"/>
  <c r="EI30" i="5"/>
  <c r="EJ30" i="5"/>
  <c r="EK30" i="5"/>
  <c r="EL30" i="5"/>
  <c r="EM30" i="5"/>
  <c r="EN30" i="5"/>
  <c r="EO30" i="5"/>
  <c r="EP30" i="5"/>
  <c r="EQ30" i="5"/>
  <c r="ER30" i="5"/>
  <c r="ES30" i="5"/>
  <c r="ET30" i="5"/>
  <c r="EU30" i="5"/>
  <c r="EV30" i="5"/>
  <c r="EW30" i="5"/>
  <c r="EX30" i="5"/>
  <c r="EY30" i="5"/>
  <c r="EZ30" i="5"/>
  <c r="FA30" i="5"/>
  <c r="FB30" i="5"/>
  <c r="FC30" i="5"/>
  <c r="FD30" i="5"/>
  <c r="FE30" i="5"/>
  <c r="FF30" i="5"/>
  <c r="FG30" i="5"/>
  <c r="FH30" i="5"/>
  <c r="FI30" i="5"/>
  <c r="FJ30" i="5"/>
  <c r="FK30" i="5"/>
  <c r="FL30" i="5"/>
  <c r="FM30" i="5"/>
  <c r="FN30" i="5"/>
  <c r="FO30" i="5"/>
  <c r="FP30" i="5"/>
  <c r="FQ30" i="5"/>
  <c r="FR30" i="5"/>
  <c r="FS30" i="5"/>
  <c r="FT30" i="5"/>
  <c r="FU30" i="5"/>
  <c r="FV30" i="5"/>
  <c r="FW30" i="5"/>
  <c r="FX30" i="5"/>
  <c r="FY30" i="5"/>
  <c r="FZ30" i="5"/>
  <c r="GA30" i="5"/>
  <c r="GB30" i="5"/>
  <c r="GC30" i="5"/>
  <c r="GD30" i="5"/>
  <c r="GE30" i="5"/>
  <c r="GF30" i="5"/>
  <c r="GG30" i="5"/>
  <c r="GH30" i="5"/>
  <c r="GI30" i="5"/>
  <c r="GJ30" i="5"/>
  <c r="GK30" i="5"/>
  <c r="GL30" i="5"/>
  <c r="GM30" i="5"/>
  <c r="GN30" i="5"/>
  <c r="GO30" i="5"/>
  <c r="GP30" i="5"/>
  <c r="GQ30" i="5"/>
  <c r="GR30" i="5"/>
  <c r="GS30" i="5"/>
  <c r="GT30" i="5"/>
  <c r="GU30" i="5"/>
  <c r="GV30" i="5"/>
  <c r="GW30" i="5"/>
  <c r="GX30" i="5"/>
  <c r="GY30" i="5"/>
  <c r="GZ30" i="5"/>
  <c r="HA30" i="5"/>
  <c r="HB30" i="5"/>
  <c r="HC30" i="5"/>
  <c r="HD30" i="5"/>
  <c r="HE30" i="5"/>
  <c r="HF30" i="5"/>
  <c r="HG30" i="5"/>
  <c r="HH30" i="5"/>
  <c r="HI30" i="5"/>
  <c r="HJ30" i="5"/>
  <c r="HK30" i="5"/>
  <c r="HL30" i="5"/>
  <c r="HM30" i="5"/>
  <c r="HN30" i="5"/>
  <c r="HO30" i="5"/>
  <c r="HP30" i="5"/>
  <c r="HQ30" i="5"/>
  <c r="HR30" i="5"/>
  <c r="HS30" i="5"/>
  <c r="HT30" i="5"/>
  <c r="HU30" i="5"/>
  <c r="HV30" i="5"/>
  <c r="HW30" i="5"/>
  <c r="HX30" i="5"/>
  <c r="HY30" i="5"/>
  <c r="HZ30" i="5"/>
  <c r="IA30" i="5"/>
  <c r="IB30" i="5"/>
  <c r="IC30" i="5"/>
  <c r="ID30" i="5"/>
  <c r="IE30" i="5"/>
  <c r="IF30" i="5"/>
  <c r="IG30" i="5"/>
  <c r="IH30" i="5"/>
  <c r="II30" i="5"/>
  <c r="IJ30" i="5"/>
  <c r="IK30" i="5"/>
  <c r="IL30" i="5"/>
  <c r="IM30" i="5"/>
  <c r="IN30" i="5"/>
  <c r="IO30" i="5"/>
  <c r="IP30" i="5"/>
  <c r="IQ30" i="5"/>
  <c r="IR30" i="5"/>
  <c r="IS30" i="5"/>
  <c r="IT30" i="5"/>
  <c r="IU30" i="5"/>
  <c r="IV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EE31" i="5"/>
  <c r="EF31" i="5"/>
  <c r="EG31" i="5"/>
  <c r="EH31" i="5"/>
  <c r="EI31" i="5"/>
  <c r="EJ31" i="5"/>
  <c r="EK31" i="5"/>
  <c r="EL31" i="5"/>
  <c r="EM31" i="5"/>
  <c r="EN31" i="5"/>
  <c r="EO31" i="5"/>
  <c r="EP31" i="5"/>
  <c r="EQ31" i="5"/>
  <c r="ER31" i="5"/>
  <c r="ES31" i="5"/>
  <c r="ET31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J31" i="5"/>
  <c r="FK31" i="5"/>
  <c r="FL31" i="5"/>
  <c r="FM31" i="5"/>
  <c r="FN31" i="5"/>
  <c r="FO31" i="5"/>
  <c r="FP31" i="5"/>
  <c r="FQ31" i="5"/>
  <c r="FR31" i="5"/>
  <c r="FS31" i="5"/>
  <c r="FT31" i="5"/>
  <c r="FU31" i="5"/>
  <c r="FV31" i="5"/>
  <c r="FW31" i="5"/>
  <c r="FX31" i="5"/>
  <c r="FY31" i="5"/>
  <c r="FZ31" i="5"/>
  <c r="GA31" i="5"/>
  <c r="GB31" i="5"/>
  <c r="GC31" i="5"/>
  <c r="GD31" i="5"/>
  <c r="GE31" i="5"/>
  <c r="GF31" i="5"/>
  <c r="GG31" i="5"/>
  <c r="GH31" i="5"/>
  <c r="GI31" i="5"/>
  <c r="GJ31" i="5"/>
  <c r="GK31" i="5"/>
  <c r="GL31" i="5"/>
  <c r="GM31" i="5"/>
  <c r="GN31" i="5"/>
  <c r="GO31" i="5"/>
  <c r="GP31" i="5"/>
  <c r="GQ31" i="5"/>
  <c r="GR31" i="5"/>
  <c r="GS31" i="5"/>
  <c r="GT31" i="5"/>
  <c r="GU31" i="5"/>
  <c r="GV31" i="5"/>
  <c r="GW31" i="5"/>
  <c r="GX31" i="5"/>
  <c r="GY31" i="5"/>
  <c r="GZ31" i="5"/>
  <c r="HA31" i="5"/>
  <c r="HB31" i="5"/>
  <c r="HC31" i="5"/>
  <c r="HD31" i="5"/>
  <c r="HE31" i="5"/>
  <c r="HF31" i="5"/>
  <c r="HG31" i="5"/>
  <c r="HH31" i="5"/>
  <c r="HI31" i="5"/>
  <c r="HJ31" i="5"/>
  <c r="HK31" i="5"/>
  <c r="HL31" i="5"/>
  <c r="HM31" i="5"/>
  <c r="HN31" i="5"/>
  <c r="HO31" i="5"/>
  <c r="HP31" i="5"/>
  <c r="HQ31" i="5"/>
  <c r="HR31" i="5"/>
  <c r="HS31" i="5"/>
  <c r="HT31" i="5"/>
  <c r="HU31" i="5"/>
  <c r="HV31" i="5"/>
  <c r="HW31" i="5"/>
  <c r="HX31" i="5"/>
  <c r="HY31" i="5"/>
  <c r="HZ31" i="5"/>
  <c r="IA31" i="5"/>
  <c r="IB31" i="5"/>
  <c r="IC31" i="5"/>
  <c r="ID31" i="5"/>
  <c r="IE31" i="5"/>
  <c r="IF31" i="5"/>
  <c r="IG31" i="5"/>
  <c r="IH31" i="5"/>
  <c r="II31" i="5"/>
  <c r="IJ31" i="5"/>
  <c r="IK31" i="5"/>
  <c r="IL31" i="5"/>
  <c r="IM31" i="5"/>
  <c r="IN31" i="5"/>
  <c r="IO31" i="5"/>
  <c r="IP31" i="5"/>
  <c r="IQ31" i="5"/>
  <c r="IR31" i="5"/>
  <c r="IS31" i="5"/>
  <c r="IT31" i="5"/>
  <c r="IU31" i="5"/>
  <c r="IV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GF32" i="5"/>
  <c r="GG32" i="5"/>
  <c r="GH32" i="5"/>
  <c r="GI32" i="5"/>
  <c r="GJ32" i="5"/>
  <c r="GK32" i="5"/>
  <c r="GL32" i="5"/>
  <c r="GM32" i="5"/>
  <c r="GN32" i="5"/>
  <c r="GO32" i="5"/>
  <c r="GP32" i="5"/>
  <c r="GQ32" i="5"/>
  <c r="GR32" i="5"/>
  <c r="GS32" i="5"/>
  <c r="GT32" i="5"/>
  <c r="GU32" i="5"/>
  <c r="GV32" i="5"/>
  <c r="GW32" i="5"/>
  <c r="GX32" i="5"/>
  <c r="GY32" i="5"/>
  <c r="GZ32" i="5"/>
  <c r="HA32" i="5"/>
  <c r="HB32" i="5"/>
  <c r="HC32" i="5"/>
  <c r="HD32" i="5"/>
  <c r="HE32" i="5"/>
  <c r="HF32" i="5"/>
  <c r="HG32" i="5"/>
  <c r="HH32" i="5"/>
  <c r="HI32" i="5"/>
  <c r="HJ32" i="5"/>
  <c r="HK32" i="5"/>
  <c r="HL32" i="5"/>
  <c r="HM32" i="5"/>
  <c r="HN32" i="5"/>
  <c r="HO32" i="5"/>
  <c r="HP32" i="5"/>
  <c r="HQ32" i="5"/>
  <c r="HR32" i="5"/>
  <c r="HS32" i="5"/>
  <c r="HT32" i="5"/>
  <c r="HU32" i="5"/>
  <c r="HV32" i="5"/>
  <c r="HW32" i="5"/>
  <c r="HX32" i="5"/>
  <c r="HY32" i="5"/>
  <c r="HZ32" i="5"/>
  <c r="IA32" i="5"/>
  <c r="IB32" i="5"/>
  <c r="IC32" i="5"/>
  <c r="ID32" i="5"/>
  <c r="IE32" i="5"/>
  <c r="IF32" i="5"/>
  <c r="IG32" i="5"/>
  <c r="IH32" i="5"/>
  <c r="II32" i="5"/>
  <c r="IJ32" i="5"/>
  <c r="IK32" i="5"/>
  <c r="IL32" i="5"/>
  <c r="IM32" i="5"/>
  <c r="IN32" i="5"/>
  <c r="IO32" i="5"/>
  <c r="IP32" i="5"/>
  <c r="IQ32" i="5"/>
  <c r="IR32" i="5"/>
  <c r="IS32" i="5"/>
  <c r="IT32" i="5"/>
  <c r="IU32" i="5"/>
  <c r="IV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GF33" i="5"/>
  <c r="GG33" i="5"/>
  <c r="GH33" i="5"/>
  <c r="GI33" i="5"/>
  <c r="GJ33" i="5"/>
  <c r="GK33" i="5"/>
  <c r="GL33" i="5"/>
  <c r="GM33" i="5"/>
  <c r="GN33" i="5"/>
  <c r="GO33" i="5"/>
  <c r="GP33" i="5"/>
  <c r="GQ33" i="5"/>
  <c r="GR33" i="5"/>
  <c r="GS33" i="5"/>
  <c r="GT33" i="5"/>
  <c r="GU33" i="5"/>
  <c r="GV33" i="5"/>
  <c r="GW33" i="5"/>
  <c r="GX33" i="5"/>
  <c r="GY33" i="5"/>
  <c r="GZ33" i="5"/>
  <c r="HA33" i="5"/>
  <c r="HB33" i="5"/>
  <c r="HC33" i="5"/>
  <c r="HD33" i="5"/>
  <c r="HE33" i="5"/>
  <c r="HF33" i="5"/>
  <c r="HG33" i="5"/>
  <c r="HH33" i="5"/>
  <c r="HI33" i="5"/>
  <c r="HJ33" i="5"/>
  <c r="HK33" i="5"/>
  <c r="HL33" i="5"/>
  <c r="HM33" i="5"/>
  <c r="HN33" i="5"/>
  <c r="HO33" i="5"/>
  <c r="HP33" i="5"/>
  <c r="HQ33" i="5"/>
  <c r="HR33" i="5"/>
  <c r="HS33" i="5"/>
  <c r="HT33" i="5"/>
  <c r="HU33" i="5"/>
  <c r="HV33" i="5"/>
  <c r="HW33" i="5"/>
  <c r="HX33" i="5"/>
  <c r="HY33" i="5"/>
  <c r="HZ33" i="5"/>
  <c r="IA33" i="5"/>
  <c r="IB33" i="5"/>
  <c r="IC33" i="5"/>
  <c r="ID33" i="5"/>
  <c r="IE33" i="5"/>
  <c r="IF33" i="5"/>
  <c r="IG33" i="5"/>
  <c r="IH33" i="5"/>
  <c r="II33" i="5"/>
  <c r="IJ33" i="5"/>
  <c r="IK33" i="5"/>
  <c r="IL33" i="5"/>
  <c r="IM33" i="5"/>
  <c r="IN33" i="5"/>
  <c r="IO33" i="5"/>
  <c r="IP33" i="5"/>
  <c r="IQ33" i="5"/>
  <c r="IR33" i="5"/>
  <c r="IS33" i="5"/>
  <c r="IT33" i="5"/>
  <c r="IU33" i="5"/>
  <c r="IV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GF34" i="5"/>
  <c r="GG34" i="5"/>
  <c r="GH34" i="5"/>
  <c r="GI34" i="5"/>
  <c r="GJ34" i="5"/>
  <c r="GK34" i="5"/>
  <c r="GL34" i="5"/>
  <c r="GM34" i="5"/>
  <c r="GN34" i="5"/>
  <c r="GO34" i="5"/>
  <c r="GP34" i="5"/>
  <c r="GQ34" i="5"/>
  <c r="GR34" i="5"/>
  <c r="GS34" i="5"/>
  <c r="GT34" i="5"/>
  <c r="GU34" i="5"/>
  <c r="GV34" i="5"/>
  <c r="GW34" i="5"/>
  <c r="GX34" i="5"/>
  <c r="GY34" i="5"/>
  <c r="GZ34" i="5"/>
  <c r="HA34" i="5"/>
  <c r="HB34" i="5"/>
  <c r="HC34" i="5"/>
  <c r="HD34" i="5"/>
  <c r="HE34" i="5"/>
  <c r="HF34" i="5"/>
  <c r="HG34" i="5"/>
  <c r="HH34" i="5"/>
  <c r="HI34" i="5"/>
  <c r="HJ34" i="5"/>
  <c r="HK34" i="5"/>
  <c r="HL34" i="5"/>
  <c r="HM34" i="5"/>
  <c r="HN34" i="5"/>
  <c r="HO34" i="5"/>
  <c r="HP34" i="5"/>
  <c r="HQ34" i="5"/>
  <c r="HR34" i="5"/>
  <c r="HS34" i="5"/>
  <c r="HT34" i="5"/>
  <c r="HU34" i="5"/>
  <c r="HV34" i="5"/>
  <c r="HW34" i="5"/>
  <c r="HX34" i="5"/>
  <c r="HY34" i="5"/>
  <c r="HZ34" i="5"/>
  <c r="IA34" i="5"/>
  <c r="IB34" i="5"/>
  <c r="IC34" i="5"/>
  <c r="ID34" i="5"/>
  <c r="IE34" i="5"/>
  <c r="IF34" i="5"/>
  <c r="IG34" i="5"/>
  <c r="IH34" i="5"/>
  <c r="II34" i="5"/>
  <c r="IJ34" i="5"/>
  <c r="IK34" i="5"/>
  <c r="IL34" i="5"/>
  <c r="IM34" i="5"/>
  <c r="IN34" i="5"/>
  <c r="IO34" i="5"/>
  <c r="IP34" i="5"/>
  <c r="IQ34" i="5"/>
  <c r="IR34" i="5"/>
  <c r="IS34" i="5"/>
  <c r="IT34" i="5"/>
  <c r="IU34" i="5"/>
  <c r="IV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DM35" i="5"/>
  <c r="DN35" i="5"/>
  <c r="DO35" i="5"/>
  <c r="DP35" i="5"/>
  <c r="DQ35" i="5"/>
  <c r="DR35" i="5"/>
  <c r="DS35" i="5"/>
  <c r="DT35" i="5"/>
  <c r="DU35" i="5"/>
  <c r="DV35" i="5"/>
  <c r="DW35" i="5"/>
  <c r="DX35" i="5"/>
  <c r="DY35" i="5"/>
  <c r="DZ35" i="5"/>
  <c r="EA35" i="5"/>
  <c r="EB35" i="5"/>
  <c r="EC35" i="5"/>
  <c r="ED35" i="5"/>
  <c r="EE35" i="5"/>
  <c r="EF35" i="5"/>
  <c r="EG35" i="5"/>
  <c r="EH35" i="5"/>
  <c r="EI35" i="5"/>
  <c r="EJ35" i="5"/>
  <c r="EK35" i="5"/>
  <c r="EL35" i="5"/>
  <c r="EM35" i="5"/>
  <c r="EN35" i="5"/>
  <c r="EO35" i="5"/>
  <c r="EP35" i="5"/>
  <c r="EQ35" i="5"/>
  <c r="ER35" i="5"/>
  <c r="ES35" i="5"/>
  <c r="ET35" i="5"/>
  <c r="EU35" i="5"/>
  <c r="EV35" i="5"/>
  <c r="EW35" i="5"/>
  <c r="EX35" i="5"/>
  <c r="EY35" i="5"/>
  <c r="EZ35" i="5"/>
  <c r="FA35" i="5"/>
  <c r="FB35" i="5"/>
  <c r="FC35" i="5"/>
  <c r="FD35" i="5"/>
  <c r="FE35" i="5"/>
  <c r="FF35" i="5"/>
  <c r="FG35" i="5"/>
  <c r="FH35" i="5"/>
  <c r="FI35" i="5"/>
  <c r="FJ35" i="5"/>
  <c r="FK35" i="5"/>
  <c r="FL35" i="5"/>
  <c r="FM35" i="5"/>
  <c r="FN35" i="5"/>
  <c r="FO35" i="5"/>
  <c r="FP35" i="5"/>
  <c r="FQ35" i="5"/>
  <c r="FR35" i="5"/>
  <c r="FS35" i="5"/>
  <c r="FT35" i="5"/>
  <c r="FU35" i="5"/>
  <c r="FV35" i="5"/>
  <c r="FW35" i="5"/>
  <c r="FX35" i="5"/>
  <c r="FY35" i="5"/>
  <c r="FZ35" i="5"/>
  <c r="GA35" i="5"/>
  <c r="GB35" i="5"/>
  <c r="GC35" i="5"/>
  <c r="GD35" i="5"/>
  <c r="GE35" i="5"/>
  <c r="GF35" i="5"/>
  <c r="GG35" i="5"/>
  <c r="GH35" i="5"/>
  <c r="GI35" i="5"/>
  <c r="GJ35" i="5"/>
  <c r="GK35" i="5"/>
  <c r="GL35" i="5"/>
  <c r="GM35" i="5"/>
  <c r="GN35" i="5"/>
  <c r="GO35" i="5"/>
  <c r="GP35" i="5"/>
  <c r="GQ35" i="5"/>
  <c r="GR35" i="5"/>
  <c r="GS35" i="5"/>
  <c r="GT35" i="5"/>
  <c r="GU35" i="5"/>
  <c r="GV35" i="5"/>
  <c r="GW35" i="5"/>
  <c r="GX35" i="5"/>
  <c r="GY35" i="5"/>
  <c r="GZ35" i="5"/>
  <c r="HA35" i="5"/>
  <c r="HB35" i="5"/>
  <c r="HC35" i="5"/>
  <c r="HD35" i="5"/>
  <c r="HE35" i="5"/>
  <c r="HF35" i="5"/>
  <c r="HG35" i="5"/>
  <c r="HH35" i="5"/>
  <c r="HI35" i="5"/>
  <c r="HJ35" i="5"/>
  <c r="HK35" i="5"/>
  <c r="HL35" i="5"/>
  <c r="HM35" i="5"/>
  <c r="HN35" i="5"/>
  <c r="HO35" i="5"/>
  <c r="HP35" i="5"/>
  <c r="HQ35" i="5"/>
  <c r="HR35" i="5"/>
  <c r="HS35" i="5"/>
  <c r="HT35" i="5"/>
  <c r="HU35" i="5"/>
  <c r="HV35" i="5"/>
  <c r="HW35" i="5"/>
  <c r="HX35" i="5"/>
  <c r="HY35" i="5"/>
  <c r="HZ35" i="5"/>
  <c r="IA35" i="5"/>
  <c r="IB35" i="5"/>
  <c r="IC35" i="5"/>
  <c r="ID35" i="5"/>
  <c r="IE35" i="5"/>
  <c r="IF35" i="5"/>
  <c r="IG35" i="5"/>
  <c r="IH35" i="5"/>
  <c r="II35" i="5"/>
  <c r="IJ35" i="5"/>
  <c r="IK35" i="5"/>
  <c r="IL35" i="5"/>
  <c r="IM35" i="5"/>
  <c r="IN35" i="5"/>
  <c r="IO35" i="5"/>
  <c r="IP35" i="5"/>
  <c r="IQ35" i="5"/>
  <c r="IR35" i="5"/>
  <c r="IS35" i="5"/>
  <c r="IT35" i="5"/>
  <c r="IU35" i="5"/>
  <c r="IV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EE36" i="5"/>
  <c r="EF36" i="5"/>
  <c r="EG36" i="5"/>
  <c r="EH36" i="5"/>
  <c r="EI36" i="5"/>
  <c r="EJ36" i="5"/>
  <c r="EK36" i="5"/>
  <c r="EL36" i="5"/>
  <c r="EM36" i="5"/>
  <c r="EN36" i="5"/>
  <c r="EO36" i="5"/>
  <c r="EP36" i="5"/>
  <c r="EQ36" i="5"/>
  <c r="ER36" i="5"/>
  <c r="ES36" i="5"/>
  <c r="ET36" i="5"/>
  <c r="EU36" i="5"/>
  <c r="EV36" i="5"/>
  <c r="EW36" i="5"/>
  <c r="EX36" i="5"/>
  <c r="EY36" i="5"/>
  <c r="EZ36" i="5"/>
  <c r="FA36" i="5"/>
  <c r="FB36" i="5"/>
  <c r="FC36" i="5"/>
  <c r="FD36" i="5"/>
  <c r="FE36" i="5"/>
  <c r="FF36" i="5"/>
  <c r="FG36" i="5"/>
  <c r="FH36" i="5"/>
  <c r="FI36" i="5"/>
  <c r="FJ36" i="5"/>
  <c r="FK36" i="5"/>
  <c r="FL36" i="5"/>
  <c r="FM36" i="5"/>
  <c r="FN36" i="5"/>
  <c r="FO36" i="5"/>
  <c r="FP36" i="5"/>
  <c r="FQ36" i="5"/>
  <c r="FR36" i="5"/>
  <c r="FS36" i="5"/>
  <c r="FT36" i="5"/>
  <c r="FU36" i="5"/>
  <c r="FV36" i="5"/>
  <c r="FW36" i="5"/>
  <c r="FX36" i="5"/>
  <c r="FY36" i="5"/>
  <c r="FZ36" i="5"/>
  <c r="GA36" i="5"/>
  <c r="GB36" i="5"/>
  <c r="GC36" i="5"/>
  <c r="GD36" i="5"/>
  <c r="GE36" i="5"/>
  <c r="GF36" i="5"/>
  <c r="GG36" i="5"/>
  <c r="GH36" i="5"/>
  <c r="GI36" i="5"/>
  <c r="GJ36" i="5"/>
  <c r="GK36" i="5"/>
  <c r="GL36" i="5"/>
  <c r="GM36" i="5"/>
  <c r="GN36" i="5"/>
  <c r="GO36" i="5"/>
  <c r="GP36" i="5"/>
  <c r="GQ36" i="5"/>
  <c r="GR36" i="5"/>
  <c r="GS36" i="5"/>
  <c r="GT36" i="5"/>
  <c r="GU36" i="5"/>
  <c r="GV36" i="5"/>
  <c r="GW36" i="5"/>
  <c r="GX36" i="5"/>
  <c r="GY36" i="5"/>
  <c r="GZ36" i="5"/>
  <c r="HA36" i="5"/>
  <c r="HB36" i="5"/>
  <c r="HC36" i="5"/>
  <c r="HD36" i="5"/>
  <c r="HE36" i="5"/>
  <c r="HF36" i="5"/>
  <c r="HG36" i="5"/>
  <c r="HH36" i="5"/>
  <c r="HI36" i="5"/>
  <c r="HJ36" i="5"/>
  <c r="HK36" i="5"/>
  <c r="HL36" i="5"/>
  <c r="HM36" i="5"/>
  <c r="HN36" i="5"/>
  <c r="HO36" i="5"/>
  <c r="HP36" i="5"/>
  <c r="HQ36" i="5"/>
  <c r="HR36" i="5"/>
  <c r="HS36" i="5"/>
  <c r="HT36" i="5"/>
  <c r="HU36" i="5"/>
  <c r="HV36" i="5"/>
  <c r="HW36" i="5"/>
  <c r="HX36" i="5"/>
  <c r="HY36" i="5"/>
  <c r="HZ36" i="5"/>
  <c r="IA36" i="5"/>
  <c r="IB36" i="5"/>
  <c r="IC36" i="5"/>
  <c r="ID36" i="5"/>
  <c r="IE36" i="5"/>
  <c r="IF36" i="5"/>
  <c r="IG36" i="5"/>
  <c r="IH36" i="5"/>
  <c r="II36" i="5"/>
  <c r="IJ36" i="5"/>
  <c r="IK36" i="5"/>
  <c r="IL36" i="5"/>
  <c r="IM36" i="5"/>
  <c r="IN36" i="5"/>
  <c r="IO36" i="5"/>
  <c r="IP36" i="5"/>
  <c r="IQ36" i="5"/>
  <c r="IR36" i="5"/>
  <c r="IS36" i="5"/>
  <c r="IT36" i="5"/>
  <c r="IU36" i="5"/>
  <c r="IV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DM37" i="5"/>
  <c r="DN37" i="5"/>
  <c r="DO37" i="5"/>
  <c r="DP37" i="5"/>
  <c r="DQ37" i="5"/>
  <c r="DR37" i="5"/>
  <c r="DS37" i="5"/>
  <c r="DT37" i="5"/>
  <c r="DU37" i="5"/>
  <c r="DV37" i="5"/>
  <c r="DW37" i="5"/>
  <c r="DX37" i="5"/>
  <c r="DY37" i="5"/>
  <c r="DZ37" i="5"/>
  <c r="EA37" i="5"/>
  <c r="EB37" i="5"/>
  <c r="EC37" i="5"/>
  <c r="ED37" i="5"/>
  <c r="EE37" i="5"/>
  <c r="EF37" i="5"/>
  <c r="EG37" i="5"/>
  <c r="EH37" i="5"/>
  <c r="EI37" i="5"/>
  <c r="EJ37" i="5"/>
  <c r="EK37" i="5"/>
  <c r="EL37" i="5"/>
  <c r="EM37" i="5"/>
  <c r="EN37" i="5"/>
  <c r="EO37" i="5"/>
  <c r="EP37" i="5"/>
  <c r="EQ37" i="5"/>
  <c r="ER37" i="5"/>
  <c r="ES37" i="5"/>
  <c r="ET37" i="5"/>
  <c r="EU37" i="5"/>
  <c r="EV37" i="5"/>
  <c r="EW37" i="5"/>
  <c r="EX37" i="5"/>
  <c r="EY37" i="5"/>
  <c r="EZ37" i="5"/>
  <c r="FA37" i="5"/>
  <c r="FB37" i="5"/>
  <c r="FC37" i="5"/>
  <c r="FD37" i="5"/>
  <c r="FE37" i="5"/>
  <c r="FF37" i="5"/>
  <c r="FG37" i="5"/>
  <c r="FH37" i="5"/>
  <c r="FI37" i="5"/>
  <c r="FJ37" i="5"/>
  <c r="FK37" i="5"/>
  <c r="FL37" i="5"/>
  <c r="FM37" i="5"/>
  <c r="FN37" i="5"/>
  <c r="FO37" i="5"/>
  <c r="FP37" i="5"/>
  <c r="FQ37" i="5"/>
  <c r="FR37" i="5"/>
  <c r="FS37" i="5"/>
  <c r="FT37" i="5"/>
  <c r="FU37" i="5"/>
  <c r="FV37" i="5"/>
  <c r="FW37" i="5"/>
  <c r="FX37" i="5"/>
  <c r="FY37" i="5"/>
  <c r="FZ37" i="5"/>
  <c r="GA37" i="5"/>
  <c r="GB37" i="5"/>
  <c r="GC37" i="5"/>
  <c r="GD37" i="5"/>
  <c r="GE37" i="5"/>
  <c r="GF37" i="5"/>
  <c r="GG37" i="5"/>
  <c r="GH37" i="5"/>
  <c r="GI37" i="5"/>
  <c r="GJ37" i="5"/>
  <c r="GK37" i="5"/>
  <c r="GL37" i="5"/>
  <c r="GM37" i="5"/>
  <c r="GN37" i="5"/>
  <c r="GO37" i="5"/>
  <c r="GP37" i="5"/>
  <c r="GQ37" i="5"/>
  <c r="GR37" i="5"/>
  <c r="GS37" i="5"/>
  <c r="GT37" i="5"/>
  <c r="GU37" i="5"/>
  <c r="GV37" i="5"/>
  <c r="GW37" i="5"/>
  <c r="GX37" i="5"/>
  <c r="GY37" i="5"/>
  <c r="GZ37" i="5"/>
  <c r="HA37" i="5"/>
  <c r="HB37" i="5"/>
  <c r="HC37" i="5"/>
  <c r="HD37" i="5"/>
  <c r="HE37" i="5"/>
  <c r="HF37" i="5"/>
  <c r="HG37" i="5"/>
  <c r="HH37" i="5"/>
  <c r="HI37" i="5"/>
  <c r="HJ37" i="5"/>
  <c r="HK37" i="5"/>
  <c r="HL37" i="5"/>
  <c r="HM37" i="5"/>
  <c r="HN37" i="5"/>
  <c r="HO37" i="5"/>
  <c r="HP37" i="5"/>
  <c r="HQ37" i="5"/>
  <c r="HR37" i="5"/>
  <c r="HS37" i="5"/>
  <c r="HT37" i="5"/>
  <c r="HU37" i="5"/>
  <c r="HV37" i="5"/>
  <c r="HW37" i="5"/>
  <c r="HX37" i="5"/>
  <c r="HY37" i="5"/>
  <c r="HZ37" i="5"/>
  <c r="IA37" i="5"/>
  <c r="IB37" i="5"/>
  <c r="IC37" i="5"/>
  <c r="ID37" i="5"/>
  <c r="IE37" i="5"/>
  <c r="IF37" i="5"/>
  <c r="IG37" i="5"/>
  <c r="IH37" i="5"/>
  <c r="II37" i="5"/>
  <c r="IJ37" i="5"/>
  <c r="IK37" i="5"/>
  <c r="IL37" i="5"/>
  <c r="IM37" i="5"/>
  <c r="IN37" i="5"/>
  <c r="IO37" i="5"/>
  <c r="IP37" i="5"/>
  <c r="IQ37" i="5"/>
  <c r="IR37" i="5"/>
  <c r="IS37" i="5"/>
  <c r="IT37" i="5"/>
  <c r="IU37" i="5"/>
  <c r="IV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DF38" i="5"/>
  <c r="DG38" i="5"/>
  <c r="DH38" i="5"/>
  <c r="DI38" i="5"/>
  <c r="DJ38" i="5"/>
  <c r="DK38" i="5"/>
  <c r="DL38" i="5"/>
  <c r="DM38" i="5"/>
  <c r="DN38" i="5"/>
  <c r="DO38" i="5"/>
  <c r="DP38" i="5"/>
  <c r="DQ38" i="5"/>
  <c r="DR38" i="5"/>
  <c r="DS38" i="5"/>
  <c r="DT38" i="5"/>
  <c r="DU38" i="5"/>
  <c r="DV38" i="5"/>
  <c r="DW38" i="5"/>
  <c r="DX38" i="5"/>
  <c r="DY38" i="5"/>
  <c r="DZ38" i="5"/>
  <c r="EA38" i="5"/>
  <c r="EB38" i="5"/>
  <c r="EC38" i="5"/>
  <c r="ED38" i="5"/>
  <c r="EE38" i="5"/>
  <c r="EF38" i="5"/>
  <c r="EG38" i="5"/>
  <c r="EH38" i="5"/>
  <c r="EI38" i="5"/>
  <c r="EJ38" i="5"/>
  <c r="EK38" i="5"/>
  <c r="EL38" i="5"/>
  <c r="EM38" i="5"/>
  <c r="EN38" i="5"/>
  <c r="EO38" i="5"/>
  <c r="EP38" i="5"/>
  <c r="EQ38" i="5"/>
  <c r="ER38" i="5"/>
  <c r="ES38" i="5"/>
  <c r="ET38" i="5"/>
  <c r="EU38" i="5"/>
  <c r="EV38" i="5"/>
  <c r="EW38" i="5"/>
  <c r="EX38" i="5"/>
  <c r="EY38" i="5"/>
  <c r="EZ38" i="5"/>
  <c r="FA38" i="5"/>
  <c r="FB38" i="5"/>
  <c r="FC38" i="5"/>
  <c r="FD38" i="5"/>
  <c r="FE38" i="5"/>
  <c r="FF38" i="5"/>
  <c r="FG38" i="5"/>
  <c r="FH38" i="5"/>
  <c r="FI38" i="5"/>
  <c r="FJ38" i="5"/>
  <c r="FK38" i="5"/>
  <c r="FL38" i="5"/>
  <c r="FM38" i="5"/>
  <c r="FN38" i="5"/>
  <c r="FO38" i="5"/>
  <c r="FP38" i="5"/>
  <c r="FQ38" i="5"/>
  <c r="FR38" i="5"/>
  <c r="FS38" i="5"/>
  <c r="FT38" i="5"/>
  <c r="FU38" i="5"/>
  <c r="FV38" i="5"/>
  <c r="FW38" i="5"/>
  <c r="FX38" i="5"/>
  <c r="FY38" i="5"/>
  <c r="FZ38" i="5"/>
  <c r="GA38" i="5"/>
  <c r="GB38" i="5"/>
  <c r="GC38" i="5"/>
  <c r="GD38" i="5"/>
  <c r="GE38" i="5"/>
  <c r="GF38" i="5"/>
  <c r="GG38" i="5"/>
  <c r="GH38" i="5"/>
  <c r="GI38" i="5"/>
  <c r="GJ38" i="5"/>
  <c r="GK38" i="5"/>
  <c r="GL38" i="5"/>
  <c r="GM38" i="5"/>
  <c r="GN38" i="5"/>
  <c r="GO38" i="5"/>
  <c r="GP38" i="5"/>
  <c r="GQ38" i="5"/>
  <c r="GR38" i="5"/>
  <c r="GS38" i="5"/>
  <c r="GT38" i="5"/>
  <c r="GU38" i="5"/>
  <c r="GV38" i="5"/>
  <c r="GW38" i="5"/>
  <c r="GX38" i="5"/>
  <c r="GY38" i="5"/>
  <c r="GZ38" i="5"/>
  <c r="HA38" i="5"/>
  <c r="HB38" i="5"/>
  <c r="HC38" i="5"/>
  <c r="HD38" i="5"/>
  <c r="HE38" i="5"/>
  <c r="HF38" i="5"/>
  <c r="HG38" i="5"/>
  <c r="HH38" i="5"/>
  <c r="HI38" i="5"/>
  <c r="HJ38" i="5"/>
  <c r="HK38" i="5"/>
  <c r="HL38" i="5"/>
  <c r="HM38" i="5"/>
  <c r="HN38" i="5"/>
  <c r="HO38" i="5"/>
  <c r="HP38" i="5"/>
  <c r="HQ38" i="5"/>
  <c r="HR38" i="5"/>
  <c r="HS38" i="5"/>
  <c r="HT38" i="5"/>
  <c r="HU38" i="5"/>
  <c r="HV38" i="5"/>
  <c r="HW38" i="5"/>
  <c r="HX38" i="5"/>
  <c r="HY38" i="5"/>
  <c r="HZ38" i="5"/>
  <c r="IA38" i="5"/>
  <c r="IB38" i="5"/>
  <c r="IC38" i="5"/>
  <c r="ID38" i="5"/>
  <c r="IE38" i="5"/>
  <c r="IF38" i="5"/>
  <c r="IG38" i="5"/>
  <c r="IH38" i="5"/>
  <c r="II38" i="5"/>
  <c r="IJ38" i="5"/>
  <c r="IK38" i="5"/>
  <c r="IL38" i="5"/>
  <c r="IM38" i="5"/>
  <c r="IN38" i="5"/>
  <c r="IO38" i="5"/>
  <c r="IP38" i="5"/>
  <c r="IQ38" i="5"/>
  <c r="IR38" i="5"/>
  <c r="IS38" i="5"/>
  <c r="IT38" i="5"/>
  <c r="IU38" i="5"/>
  <c r="IV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EQ39" i="5"/>
  <c r="ER39" i="5"/>
  <c r="ES39" i="5"/>
  <c r="ET39" i="5"/>
  <c r="EU39" i="5"/>
  <c r="EV39" i="5"/>
  <c r="EW39" i="5"/>
  <c r="EX39" i="5"/>
  <c r="EY39" i="5"/>
  <c r="EZ39" i="5"/>
  <c r="FA39" i="5"/>
  <c r="FB39" i="5"/>
  <c r="FC39" i="5"/>
  <c r="FD39" i="5"/>
  <c r="FE39" i="5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HB39" i="5"/>
  <c r="HC39" i="5"/>
  <c r="HD39" i="5"/>
  <c r="HE39" i="5"/>
  <c r="HF39" i="5"/>
  <c r="HG39" i="5"/>
  <c r="HH39" i="5"/>
  <c r="HI39" i="5"/>
  <c r="HJ39" i="5"/>
  <c r="HK39" i="5"/>
  <c r="HL39" i="5"/>
  <c r="HM39" i="5"/>
  <c r="HN39" i="5"/>
  <c r="HO39" i="5"/>
  <c r="HP39" i="5"/>
  <c r="HQ39" i="5"/>
  <c r="HR39" i="5"/>
  <c r="HS39" i="5"/>
  <c r="HT39" i="5"/>
  <c r="HU39" i="5"/>
  <c r="HV39" i="5"/>
  <c r="HW39" i="5"/>
  <c r="HX39" i="5"/>
  <c r="HY39" i="5"/>
  <c r="HZ39" i="5"/>
  <c r="IA39" i="5"/>
  <c r="IB39" i="5"/>
  <c r="IC39" i="5"/>
  <c r="ID39" i="5"/>
  <c r="IE39" i="5"/>
  <c r="IF39" i="5"/>
  <c r="IG39" i="5"/>
  <c r="IH39" i="5"/>
  <c r="II39" i="5"/>
  <c r="IJ39" i="5"/>
  <c r="IK39" i="5"/>
  <c r="IL39" i="5"/>
  <c r="IM39" i="5"/>
  <c r="IN39" i="5"/>
  <c r="IO39" i="5"/>
  <c r="IP39" i="5"/>
  <c r="IQ39" i="5"/>
  <c r="IR39" i="5"/>
  <c r="IS39" i="5"/>
  <c r="IT39" i="5"/>
  <c r="IU39" i="5"/>
  <c r="IV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EE40" i="5"/>
  <c r="EF40" i="5"/>
  <c r="EG40" i="5"/>
  <c r="EH40" i="5"/>
  <c r="EI40" i="5"/>
  <c r="EJ40" i="5"/>
  <c r="EK40" i="5"/>
  <c r="EL40" i="5"/>
  <c r="EM40" i="5"/>
  <c r="EN40" i="5"/>
  <c r="EO40" i="5"/>
  <c r="EP40" i="5"/>
  <c r="EQ40" i="5"/>
  <c r="ER40" i="5"/>
  <c r="ES40" i="5"/>
  <c r="ET40" i="5"/>
  <c r="EU40" i="5"/>
  <c r="EV40" i="5"/>
  <c r="EW40" i="5"/>
  <c r="EX40" i="5"/>
  <c r="EY40" i="5"/>
  <c r="EZ40" i="5"/>
  <c r="FA40" i="5"/>
  <c r="FB40" i="5"/>
  <c r="FC40" i="5"/>
  <c r="FD40" i="5"/>
  <c r="FE40" i="5"/>
  <c r="FF40" i="5"/>
  <c r="FG40" i="5"/>
  <c r="FH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GM40" i="5"/>
  <c r="GN40" i="5"/>
  <c r="GO40" i="5"/>
  <c r="GP40" i="5"/>
  <c r="GQ40" i="5"/>
  <c r="GR40" i="5"/>
  <c r="GS40" i="5"/>
  <c r="GT40" i="5"/>
  <c r="GU40" i="5"/>
  <c r="GV40" i="5"/>
  <c r="GW40" i="5"/>
  <c r="GX40" i="5"/>
  <c r="GY40" i="5"/>
  <c r="GZ40" i="5"/>
  <c r="HA40" i="5"/>
  <c r="HB40" i="5"/>
  <c r="HC40" i="5"/>
  <c r="HD40" i="5"/>
  <c r="HE40" i="5"/>
  <c r="HF40" i="5"/>
  <c r="HG40" i="5"/>
  <c r="HH40" i="5"/>
  <c r="HI40" i="5"/>
  <c r="HJ40" i="5"/>
  <c r="HK40" i="5"/>
  <c r="HL40" i="5"/>
  <c r="HM40" i="5"/>
  <c r="HN40" i="5"/>
  <c r="HO40" i="5"/>
  <c r="HP40" i="5"/>
  <c r="HQ40" i="5"/>
  <c r="HR40" i="5"/>
  <c r="HS40" i="5"/>
  <c r="HT40" i="5"/>
  <c r="HU40" i="5"/>
  <c r="HV40" i="5"/>
  <c r="HW40" i="5"/>
  <c r="HX40" i="5"/>
  <c r="HY40" i="5"/>
  <c r="HZ40" i="5"/>
  <c r="IA40" i="5"/>
  <c r="IB40" i="5"/>
  <c r="IC40" i="5"/>
  <c r="ID40" i="5"/>
  <c r="IE40" i="5"/>
  <c r="IF40" i="5"/>
  <c r="IG40" i="5"/>
  <c r="IH40" i="5"/>
  <c r="II40" i="5"/>
  <c r="IJ40" i="5"/>
  <c r="IK40" i="5"/>
  <c r="IL40" i="5"/>
  <c r="IM40" i="5"/>
  <c r="IN40" i="5"/>
  <c r="IO40" i="5"/>
  <c r="IP40" i="5"/>
  <c r="IQ40" i="5"/>
  <c r="IR40" i="5"/>
  <c r="IS40" i="5"/>
  <c r="IT40" i="5"/>
  <c r="IU40" i="5"/>
  <c r="IV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DF41" i="5"/>
  <c r="DG41" i="5"/>
  <c r="DH41" i="5"/>
  <c r="DI41" i="5"/>
  <c r="DJ41" i="5"/>
  <c r="DK41" i="5"/>
  <c r="DL41" i="5"/>
  <c r="DM41" i="5"/>
  <c r="DN41" i="5"/>
  <c r="DO41" i="5"/>
  <c r="DP41" i="5"/>
  <c r="DQ41" i="5"/>
  <c r="DR41" i="5"/>
  <c r="DS41" i="5"/>
  <c r="DT41" i="5"/>
  <c r="DU41" i="5"/>
  <c r="DV41" i="5"/>
  <c r="DW41" i="5"/>
  <c r="DX41" i="5"/>
  <c r="DY41" i="5"/>
  <c r="DZ41" i="5"/>
  <c r="EA41" i="5"/>
  <c r="EB41" i="5"/>
  <c r="EC41" i="5"/>
  <c r="ED41" i="5"/>
  <c r="EE41" i="5"/>
  <c r="EF41" i="5"/>
  <c r="EG41" i="5"/>
  <c r="EH41" i="5"/>
  <c r="EI41" i="5"/>
  <c r="EJ41" i="5"/>
  <c r="EK41" i="5"/>
  <c r="EL41" i="5"/>
  <c r="EM41" i="5"/>
  <c r="EN41" i="5"/>
  <c r="EO41" i="5"/>
  <c r="EP41" i="5"/>
  <c r="EQ41" i="5"/>
  <c r="ER41" i="5"/>
  <c r="ES41" i="5"/>
  <c r="ET41" i="5"/>
  <c r="EU41" i="5"/>
  <c r="EV41" i="5"/>
  <c r="EW41" i="5"/>
  <c r="EX41" i="5"/>
  <c r="EY41" i="5"/>
  <c r="EZ41" i="5"/>
  <c r="FA41" i="5"/>
  <c r="FB41" i="5"/>
  <c r="FC41" i="5"/>
  <c r="FD41" i="5"/>
  <c r="FE41" i="5"/>
  <c r="FF41" i="5"/>
  <c r="FG41" i="5"/>
  <c r="FH41" i="5"/>
  <c r="FI41" i="5"/>
  <c r="FJ41" i="5"/>
  <c r="FK41" i="5"/>
  <c r="FL41" i="5"/>
  <c r="FM41" i="5"/>
  <c r="FN41" i="5"/>
  <c r="FO41" i="5"/>
  <c r="FP41" i="5"/>
  <c r="FQ41" i="5"/>
  <c r="FR41" i="5"/>
  <c r="FS41" i="5"/>
  <c r="FT41" i="5"/>
  <c r="FU41" i="5"/>
  <c r="FV41" i="5"/>
  <c r="FW41" i="5"/>
  <c r="FX41" i="5"/>
  <c r="FY41" i="5"/>
  <c r="FZ41" i="5"/>
  <c r="GA41" i="5"/>
  <c r="GB41" i="5"/>
  <c r="GC41" i="5"/>
  <c r="GD41" i="5"/>
  <c r="GE41" i="5"/>
  <c r="GF41" i="5"/>
  <c r="GG41" i="5"/>
  <c r="GH41" i="5"/>
  <c r="GI41" i="5"/>
  <c r="GJ41" i="5"/>
  <c r="GK41" i="5"/>
  <c r="GL41" i="5"/>
  <c r="GM41" i="5"/>
  <c r="GN41" i="5"/>
  <c r="GO41" i="5"/>
  <c r="GP41" i="5"/>
  <c r="GQ41" i="5"/>
  <c r="GR41" i="5"/>
  <c r="GS41" i="5"/>
  <c r="GT41" i="5"/>
  <c r="GU41" i="5"/>
  <c r="GV41" i="5"/>
  <c r="GW41" i="5"/>
  <c r="GX41" i="5"/>
  <c r="GY41" i="5"/>
  <c r="GZ41" i="5"/>
  <c r="HA41" i="5"/>
  <c r="HB41" i="5"/>
  <c r="HC41" i="5"/>
  <c r="HD41" i="5"/>
  <c r="HE41" i="5"/>
  <c r="HF41" i="5"/>
  <c r="HG41" i="5"/>
  <c r="HH41" i="5"/>
  <c r="HI41" i="5"/>
  <c r="HJ41" i="5"/>
  <c r="HK41" i="5"/>
  <c r="HL41" i="5"/>
  <c r="HM41" i="5"/>
  <c r="HN41" i="5"/>
  <c r="HO41" i="5"/>
  <c r="HP41" i="5"/>
  <c r="HQ41" i="5"/>
  <c r="HR41" i="5"/>
  <c r="HS41" i="5"/>
  <c r="HT41" i="5"/>
  <c r="HU41" i="5"/>
  <c r="HV41" i="5"/>
  <c r="HW41" i="5"/>
  <c r="HX41" i="5"/>
  <c r="HY41" i="5"/>
  <c r="HZ41" i="5"/>
  <c r="IA41" i="5"/>
  <c r="IB41" i="5"/>
  <c r="IC41" i="5"/>
  <c r="ID41" i="5"/>
  <c r="IE41" i="5"/>
  <c r="IF41" i="5"/>
  <c r="IG41" i="5"/>
  <c r="IH41" i="5"/>
  <c r="II41" i="5"/>
  <c r="IJ41" i="5"/>
  <c r="IK41" i="5"/>
  <c r="IL41" i="5"/>
  <c r="IM41" i="5"/>
  <c r="IN41" i="5"/>
  <c r="IO41" i="5"/>
  <c r="IP41" i="5"/>
  <c r="IQ41" i="5"/>
  <c r="IR41" i="5"/>
  <c r="IS41" i="5"/>
  <c r="IT41" i="5"/>
  <c r="IU41" i="5"/>
  <c r="IV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O42" i="5"/>
  <c r="EP42" i="5"/>
  <c r="EQ42" i="5"/>
  <c r="ER42" i="5"/>
  <c r="ES42" i="5"/>
  <c r="ET42" i="5"/>
  <c r="EU42" i="5"/>
  <c r="EV42" i="5"/>
  <c r="EW42" i="5"/>
  <c r="EX42" i="5"/>
  <c r="EY42" i="5"/>
  <c r="EZ42" i="5"/>
  <c r="FA42" i="5"/>
  <c r="FB42" i="5"/>
  <c r="FC42" i="5"/>
  <c r="FD42" i="5"/>
  <c r="FE42" i="5"/>
  <c r="FF42" i="5"/>
  <c r="FG42" i="5"/>
  <c r="FH42" i="5"/>
  <c r="FI42" i="5"/>
  <c r="FJ42" i="5"/>
  <c r="FK42" i="5"/>
  <c r="FL42" i="5"/>
  <c r="FM42" i="5"/>
  <c r="FN42" i="5"/>
  <c r="FO42" i="5"/>
  <c r="FP42" i="5"/>
  <c r="FQ42" i="5"/>
  <c r="FR42" i="5"/>
  <c r="FS42" i="5"/>
  <c r="FT42" i="5"/>
  <c r="FU42" i="5"/>
  <c r="FV42" i="5"/>
  <c r="FW42" i="5"/>
  <c r="FX42" i="5"/>
  <c r="FY42" i="5"/>
  <c r="FZ42" i="5"/>
  <c r="GA42" i="5"/>
  <c r="GB42" i="5"/>
  <c r="GC42" i="5"/>
  <c r="GD42" i="5"/>
  <c r="GE42" i="5"/>
  <c r="GF42" i="5"/>
  <c r="GG42" i="5"/>
  <c r="GH42" i="5"/>
  <c r="GI42" i="5"/>
  <c r="GJ42" i="5"/>
  <c r="GK42" i="5"/>
  <c r="GL42" i="5"/>
  <c r="GM42" i="5"/>
  <c r="GN42" i="5"/>
  <c r="GO42" i="5"/>
  <c r="GP42" i="5"/>
  <c r="GQ42" i="5"/>
  <c r="GR42" i="5"/>
  <c r="GS42" i="5"/>
  <c r="GT42" i="5"/>
  <c r="GU42" i="5"/>
  <c r="GV42" i="5"/>
  <c r="GW42" i="5"/>
  <c r="GX42" i="5"/>
  <c r="GY42" i="5"/>
  <c r="GZ42" i="5"/>
  <c r="HA42" i="5"/>
  <c r="HB42" i="5"/>
  <c r="HC42" i="5"/>
  <c r="HD42" i="5"/>
  <c r="HE42" i="5"/>
  <c r="HF42" i="5"/>
  <c r="HG42" i="5"/>
  <c r="HH42" i="5"/>
  <c r="HI42" i="5"/>
  <c r="HJ42" i="5"/>
  <c r="HK42" i="5"/>
  <c r="HL42" i="5"/>
  <c r="HM42" i="5"/>
  <c r="HN42" i="5"/>
  <c r="HO42" i="5"/>
  <c r="HP42" i="5"/>
  <c r="HQ42" i="5"/>
  <c r="HR42" i="5"/>
  <c r="HS42" i="5"/>
  <c r="HT42" i="5"/>
  <c r="HU42" i="5"/>
  <c r="HV42" i="5"/>
  <c r="HW42" i="5"/>
  <c r="HX42" i="5"/>
  <c r="HY42" i="5"/>
  <c r="HZ42" i="5"/>
  <c r="IA42" i="5"/>
  <c r="IB42" i="5"/>
  <c r="IC42" i="5"/>
  <c r="ID42" i="5"/>
  <c r="IE42" i="5"/>
  <c r="IF42" i="5"/>
  <c r="IG42" i="5"/>
  <c r="IH42" i="5"/>
  <c r="II42" i="5"/>
  <c r="IJ42" i="5"/>
  <c r="IK42" i="5"/>
  <c r="IL42" i="5"/>
  <c r="IM42" i="5"/>
  <c r="IN42" i="5"/>
  <c r="IO42" i="5"/>
  <c r="IP42" i="5"/>
  <c r="IQ42" i="5"/>
  <c r="IR42" i="5"/>
  <c r="IS42" i="5"/>
  <c r="IT42" i="5"/>
  <c r="IU42" i="5"/>
  <c r="IV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DF43" i="5"/>
  <c r="DG43" i="5"/>
  <c r="DH43" i="5"/>
  <c r="DI43" i="5"/>
  <c r="DJ43" i="5"/>
  <c r="DK43" i="5"/>
  <c r="DL43" i="5"/>
  <c r="DM43" i="5"/>
  <c r="DN43" i="5"/>
  <c r="DO43" i="5"/>
  <c r="DP43" i="5"/>
  <c r="DQ43" i="5"/>
  <c r="DR43" i="5"/>
  <c r="DS43" i="5"/>
  <c r="DT43" i="5"/>
  <c r="DU43" i="5"/>
  <c r="DV43" i="5"/>
  <c r="DW43" i="5"/>
  <c r="DX43" i="5"/>
  <c r="DY43" i="5"/>
  <c r="DZ43" i="5"/>
  <c r="EA43" i="5"/>
  <c r="EB43" i="5"/>
  <c r="EC43" i="5"/>
  <c r="ED43" i="5"/>
  <c r="EE43" i="5"/>
  <c r="EF43" i="5"/>
  <c r="EG43" i="5"/>
  <c r="EH43" i="5"/>
  <c r="EI43" i="5"/>
  <c r="EJ43" i="5"/>
  <c r="EK43" i="5"/>
  <c r="EL43" i="5"/>
  <c r="EM43" i="5"/>
  <c r="EN43" i="5"/>
  <c r="EO43" i="5"/>
  <c r="EP43" i="5"/>
  <c r="EQ43" i="5"/>
  <c r="ER43" i="5"/>
  <c r="ES43" i="5"/>
  <c r="ET43" i="5"/>
  <c r="EU43" i="5"/>
  <c r="EV43" i="5"/>
  <c r="EW43" i="5"/>
  <c r="EX43" i="5"/>
  <c r="EY43" i="5"/>
  <c r="EZ43" i="5"/>
  <c r="FA43" i="5"/>
  <c r="FB43" i="5"/>
  <c r="FC43" i="5"/>
  <c r="FD43" i="5"/>
  <c r="FE43" i="5"/>
  <c r="FF43" i="5"/>
  <c r="FG43" i="5"/>
  <c r="FH43" i="5"/>
  <c r="FI43" i="5"/>
  <c r="FJ43" i="5"/>
  <c r="FK43" i="5"/>
  <c r="FL43" i="5"/>
  <c r="FM43" i="5"/>
  <c r="FN43" i="5"/>
  <c r="FO43" i="5"/>
  <c r="FP43" i="5"/>
  <c r="FQ43" i="5"/>
  <c r="FR43" i="5"/>
  <c r="FS43" i="5"/>
  <c r="FT43" i="5"/>
  <c r="FU43" i="5"/>
  <c r="FV43" i="5"/>
  <c r="FW43" i="5"/>
  <c r="FX43" i="5"/>
  <c r="FY43" i="5"/>
  <c r="FZ43" i="5"/>
  <c r="GA43" i="5"/>
  <c r="GB43" i="5"/>
  <c r="GC43" i="5"/>
  <c r="GD43" i="5"/>
  <c r="GE43" i="5"/>
  <c r="GF43" i="5"/>
  <c r="GG43" i="5"/>
  <c r="GH43" i="5"/>
  <c r="GI43" i="5"/>
  <c r="GJ43" i="5"/>
  <c r="GK43" i="5"/>
  <c r="GL43" i="5"/>
  <c r="GM43" i="5"/>
  <c r="GN43" i="5"/>
  <c r="GO43" i="5"/>
  <c r="GP43" i="5"/>
  <c r="GQ43" i="5"/>
  <c r="GR43" i="5"/>
  <c r="GS43" i="5"/>
  <c r="GT43" i="5"/>
  <c r="GU43" i="5"/>
  <c r="GV43" i="5"/>
  <c r="GW43" i="5"/>
  <c r="GX43" i="5"/>
  <c r="GY43" i="5"/>
  <c r="GZ43" i="5"/>
  <c r="HA43" i="5"/>
  <c r="HB43" i="5"/>
  <c r="HC43" i="5"/>
  <c r="HD43" i="5"/>
  <c r="HE43" i="5"/>
  <c r="HF43" i="5"/>
  <c r="HG43" i="5"/>
  <c r="HH43" i="5"/>
  <c r="HI43" i="5"/>
  <c r="HJ43" i="5"/>
  <c r="HK43" i="5"/>
  <c r="HL43" i="5"/>
  <c r="HM43" i="5"/>
  <c r="HN43" i="5"/>
  <c r="HO43" i="5"/>
  <c r="HP43" i="5"/>
  <c r="HQ43" i="5"/>
  <c r="HR43" i="5"/>
  <c r="HS43" i="5"/>
  <c r="HT43" i="5"/>
  <c r="HU43" i="5"/>
  <c r="HV43" i="5"/>
  <c r="HW43" i="5"/>
  <c r="HX43" i="5"/>
  <c r="HY43" i="5"/>
  <c r="HZ43" i="5"/>
  <c r="IA43" i="5"/>
  <c r="IB43" i="5"/>
  <c r="IC43" i="5"/>
  <c r="ID43" i="5"/>
  <c r="IE43" i="5"/>
  <c r="IF43" i="5"/>
  <c r="IG43" i="5"/>
  <c r="IH43" i="5"/>
  <c r="II43" i="5"/>
  <c r="IJ43" i="5"/>
  <c r="IK43" i="5"/>
  <c r="IL43" i="5"/>
  <c r="IM43" i="5"/>
  <c r="IN43" i="5"/>
  <c r="IO43" i="5"/>
  <c r="IP43" i="5"/>
  <c r="IQ43" i="5"/>
  <c r="IR43" i="5"/>
  <c r="IS43" i="5"/>
  <c r="IT43" i="5"/>
  <c r="IU43" i="5"/>
  <c r="IV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DM44" i="5"/>
  <c r="DN44" i="5"/>
  <c r="DO44" i="5"/>
  <c r="DP44" i="5"/>
  <c r="DQ44" i="5"/>
  <c r="DR44" i="5"/>
  <c r="DS44" i="5"/>
  <c r="DT44" i="5"/>
  <c r="DU44" i="5"/>
  <c r="DV44" i="5"/>
  <c r="DW44" i="5"/>
  <c r="DX44" i="5"/>
  <c r="DY44" i="5"/>
  <c r="DZ44" i="5"/>
  <c r="EA44" i="5"/>
  <c r="EB44" i="5"/>
  <c r="EC44" i="5"/>
  <c r="ED44" i="5"/>
  <c r="EE44" i="5"/>
  <c r="EF44" i="5"/>
  <c r="EG44" i="5"/>
  <c r="EH44" i="5"/>
  <c r="EI44" i="5"/>
  <c r="EJ44" i="5"/>
  <c r="EK44" i="5"/>
  <c r="EL44" i="5"/>
  <c r="EM44" i="5"/>
  <c r="EN44" i="5"/>
  <c r="EO44" i="5"/>
  <c r="EP44" i="5"/>
  <c r="EQ44" i="5"/>
  <c r="ER44" i="5"/>
  <c r="ES44" i="5"/>
  <c r="ET44" i="5"/>
  <c r="EU44" i="5"/>
  <c r="EV44" i="5"/>
  <c r="EW44" i="5"/>
  <c r="EX44" i="5"/>
  <c r="EY44" i="5"/>
  <c r="EZ44" i="5"/>
  <c r="FA44" i="5"/>
  <c r="FB44" i="5"/>
  <c r="FC44" i="5"/>
  <c r="FD44" i="5"/>
  <c r="FE44" i="5"/>
  <c r="FF44" i="5"/>
  <c r="FG44" i="5"/>
  <c r="FH44" i="5"/>
  <c r="FI44" i="5"/>
  <c r="FJ44" i="5"/>
  <c r="FK44" i="5"/>
  <c r="FL44" i="5"/>
  <c r="FM44" i="5"/>
  <c r="FN44" i="5"/>
  <c r="FO44" i="5"/>
  <c r="FP44" i="5"/>
  <c r="FQ44" i="5"/>
  <c r="FR44" i="5"/>
  <c r="FS44" i="5"/>
  <c r="FT44" i="5"/>
  <c r="FU44" i="5"/>
  <c r="FV44" i="5"/>
  <c r="FW44" i="5"/>
  <c r="FX44" i="5"/>
  <c r="FY44" i="5"/>
  <c r="FZ44" i="5"/>
  <c r="GA44" i="5"/>
  <c r="GB44" i="5"/>
  <c r="GC44" i="5"/>
  <c r="GD44" i="5"/>
  <c r="GE44" i="5"/>
  <c r="GF44" i="5"/>
  <c r="GG44" i="5"/>
  <c r="GH44" i="5"/>
  <c r="GI44" i="5"/>
  <c r="GJ44" i="5"/>
  <c r="GK44" i="5"/>
  <c r="GL44" i="5"/>
  <c r="GM44" i="5"/>
  <c r="GN44" i="5"/>
  <c r="GO44" i="5"/>
  <c r="GP44" i="5"/>
  <c r="GQ44" i="5"/>
  <c r="GR44" i="5"/>
  <c r="GS44" i="5"/>
  <c r="GT44" i="5"/>
  <c r="GU44" i="5"/>
  <c r="GV44" i="5"/>
  <c r="GW44" i="5"/>
  <c r="GX44" i="5"/>
  <c r="GY44" i="5"/>
  <c r="GZ44" i="5"/>
  <c r="HA44" i="5"/>
  <c r="HB44" i="5"/>
  <c r="HC44" i="5"/>
  <c r="HD44" i="5"/>
  <c r="HE44" i="5"/>
  <c r="HF44" i="5"/>
  <c r="HG44" i="5"/>
  <c r="HH44" i="5"/>
  <c r="HI44" i="5"/>
  <c r="HJ44" i="5"/>
  <c r="HK44" i="5"/>
  <c r="HL44" i="5"/>
  <c r="HM44" i="5"/>
  <c r="HN44" i="5"/>
  <c r="HO44" i="5"/>
  <c r="HP44" i="5"/>
  <c r="HQ44" i="5"/>
  <c r="HR44" i="5"/>
  <c r="HS44" i="5"/>
  <c r="HT44" i="5"/>
  <c r="HU44" i="5"/>
  <c r="HV44" i="5"/>
  <c r="HW44" i="5"/>
  <c r="HX44" i="5"/>
  <c r="HY44" i="5"/>
  <c r="HZ44" i="5"/>
  <c r="IA44" i="5"/>
  <c r="IB44" i="5"/>
  <c r="IC44" i="5"/>
  <c r="ID44" i="5"/>
  <c r="IE44" i="5"/>
  <c r="IF44" i="5"/>
  <c r="IG44" i="5"/>
  <c r="IH44" i="5"/>
  <c r="II44" i="5"/>
  <c r="IJ44" i="5"/>
  <c r="IK44" i="5"/>
  <c r="IL44" i="5"/>
  <c r="IM44" i="5"/>
  <c r="IN44" i="5"/>
  <c r="IO44" i="5"/>
  <c r="IP44" i="5"/>
  <c r="IQ44" i="5"/>
  <c r="IR44" i="5"/>
  <c r="IS44" i="5"/>
  <c r="IT44" i="5"/>
  <c r="IU44" i="5"/>
  <c r="IV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DF45" i="5"/>
  <c r="DG45" i="5"/>
  <c r="DH45" i="5"/>
  <c r="DI45" i="5"/>
  <c r="DJ45" i="5"/>
  <c r="DK45" i="5"/>
  <c r="DL45" i="5"/>
  <c r="DM45" i="5"/>
  <c r="DN45" i="5"/>
  <c r="DO45" i="5"/>
  <c r="DP45" i="5"/>
  <c r="DQ45" i="5"/>
  <c r="DR45" i="5"/>
  <c r="DS45" i="5"/>
  <c r="DT45" i="5"/>
  <c r="DU45" i="5"/>
  <c r="DV45" i="5"/>
  <c r="DW45" i="5"/>
  <c r="DX45" i="5"/>
  <c r="DY45" i="5"/>
  <c r="DZ45" i="5"/>
  <c r="EA45" i="5"/>
  <c r="EB45" i="5"/>
  <c r="EC45" i="5"/>
  <c r="ED45" i="5"/>
  <c r="EE45" i="5"/>
  <c r="EF45" i="5"/>
  <c r="EG45" i="5"/>
  <c r="EH45" i="5"/>
  <c r="EI45" i="5"/>
  <c r="EJ45" i="5"/>
  <c r="EK45" i="5"/>
  <c r="EL45" i="5"/>
  <c r="EM45" i="5"/>
  <c r="EN45" i="5"/>
  <c r="EO45" i="5"/>
  <c r="EP45" i="5"/>
  <c r="EQ45" i="5"/>
  <c r="ER45" i="5"/>
  <c r="ES45" i="5"/>
  <c r="ET45" i="5"/>
  <c r="EU45" i="5"/>
  <c r="EV45" i="5"/>
  <c r="EW45" i="5"/>
  <c r="EX45" i="5"/>
  <c r="EY45" i="5"/>
  <c r="EZ45" i="5"/>
  <c r="FA45" i="5"/>
  <c r="FB45" i="5"/>
  <c r="FC45" i="5"/>
  <c r="FD45" i="5"/>
  <c r="FE45" i="5"/>
  <c r="FF45" i="5"/>
  <c r="FG45" i="5"/>
  <c r="FH45" i="5"/>
  <c r="FI45" i="5"/>
  <c r="FJ45" i="5"/>
  <c r="FK45" i="5"/>
  <c r="FL45" i="5"/>
  <c r="FM45" i="5"/>
  <c r="FN45" i="5"/>
  <c r="FO45" i="5"/>
  <c r="FP45" i="5"/>
  <c r="FQ45" i="5"/>
  <c r="FR45" i="5"/>
  <c r="FS45" i="5"/>
  <c r="FT45" i="5"/>
  <c r="FU45" i="5"/>
  <c r="FV45" i="5"/>
  <c r="FW45" i="5"/>
  <c r="FX45" i="5"/>
  <c r="FY45" i="5"/>
  <c r="FZ45" i="5"/>
  <c r="GA45" i="5"/>
  <c r="GB45" i="5"/>
  <c r="GC45" i="5"/>
  <c r="GD45" i="5"/>
  <c r="GE45" i="5"/>
  <c r="GF45" i="5"/>
  <c r="GG45" i="5"/>
  <c r="GH45" i="5"/>
  <c r="GI45" i="5"/>
  <c r="GJ45" i="5"/>
  <c r="GK45" i="5"/>
  <c r="GL45" i="5"/>
  <c r="GM45" i="5"/>
  <c r="GN45" i="5"/>
  <c r="GO45" i="5"/>
  <c r="GP45" i="5"/>
  <c r="GQ45" i="5"/>
  <c r="GR45" i="5"/>
  <c r="GS45" i="5"/>
  <c r="GT45" i="5"/>
  <c r="GU45" i="5"/>
  <c r="GV45" i="5"/>
  <c r="GW45" i="5"/>
  <c r="GX45" i="5"/>
  <c r="GY45" i="5"/>
  <c r="GZ45" i="5"/>
  <c r="HA45" i="5"/>
  <c r="HB45" i="5"/>
  <c r="HC45" i="5"/>
  <c r="HD45" i="5"/>
  <c r="HE45" i="5"/>
  <c r="HF45" i="5"/>
  <c r="HG45" i="5"/>
  <c r="HH45" i="5"/>
  <c r="HI45" i="5"/>
  <c r="HJ45" i="5"/>
  <c r="HK45" i="5"/>
  <c r="HL45" i="5"/>
  <c r="HM45" i="5"/>
  <c r="HN45" i="5"/>
  <c r="HO45" i="5"/>
  <c r="HP45" i="5"/>
  <c r="HQ45" i="5"/>
  <c r="HR45" i="5"/>
  <c r="HS45" i="5"/>
  <c r="HT45" i="5"/>
  <c r="HU45" i="5"/>
  <c r="HV45" i="5"/>
  <c r="HW45" i="5"/>
  <c r="HX45" i="5"/>
  <c r="HY45" i="5"/>
  <c r="HZ45" i="5"/>
  <c r="IA45" i="5"/>
  <c r="IB45" i="5"/>
  <c r="IC45" i="5"/>
  <c r="ID45" i="5"/>
  <c r="IE45" i="5"/>
  <c r="IF45" i="5"/>
  <c r="IG45" i="5"/>
  <c r="IH45" i="5"/>
  <c r="II45" i="5"/>
  <c r="IJ45" i="5"/>
  <c r="IK45" i="5"/>
  <c r="IL45" i="5"/>
  <c r="IM45" i="5"/>
  <c r="IN45" i="5"/>
  <c r="IO45" i="5"/>
  <c r="IP45" i="5"/>
  <c r="IQ45" i="5"/>
  <c r="IR45" i="5"/>
  <c r="IS45" i="5"/>
  <c r="IT45" i="5"/>
  <c r="IU45" i="5"/>
  <c r="IV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DP46" i="5"/>
  <c r="DQ46" i="5"/>
  <c r="DR46" i="5"/>
  <c r="DS46" i="5"/>
  <c r="DT46" i="5"/>
  <c r="DU46" i="5"/>
  <c r="DV46" i="5"/>
  <c r="DW46" i="5"/>
  <c r="DX46" i="5"/>
  <c r="DY46" i="5"/>
  <c r="DZ46" i="5"/>
  <c r="EA46" i="5"/>
  <c r="EB46" i="5"/>
  <c r="EC46" i="5"/>
  <c r="ED46" i="5"/>
  <c r="EE46" i="5"/>
  <c r="EF46" i="5"/>
  <c r="EG46" i="5"/>
  <c r="EH46" i="5"/>
  <c r="EI46" i="5"/>
  <c r="EJ46" i="5"/>
  <c r="EK46" i="5"/>
  <c r="EL46" i="5"/>
  <c r="EM46" i="5"/>
  <c r="EN46" i="5"/>
  <c r="EO46" i="5"/>
  <c r="EP46" i="5"/>
  <c r="EQ46" i="5"/>
  <c r="ER46" i="5"/>
  <c r="ES46" i="5"/>
  <c r="ET46" i="5"/>
  <c r="EU46" i="5"/>
  <c r="EV46" i="5"/>
  <c r="EW46" i="5"/>
  <c r="EX46" i="5"/>
  <c r="EY46" i="5"/>
  <c r="EZ46" i="5"/>
  <c r="FA46" i="5"/>
  <c r="FB46" i="5"/>
  <c r="FC46" i="5"/>
  <c r="FD46" i="5"/>
  <c r="FE46" i="5"/>
  <c r="FF46" i="5"/>
  <c r="FG46" i="5"/>
  <c r="FH46" i="5"/>
  <c r="FI46" i="5"/>
  <c r="FJ46" i="5"/>
  <c r="FK46" i="5"/>
  <c r="FL46" i="5"/>
  <c r="FM46" i="5"/>
  <c r="FN46" i="5"/>
  <c r="FO46" i="5"/>
  <c r="FP46" i="5"/>
  <c r="FQ46" i="5"/>
  <c r="FR46" i="5"/>
  <c r="FS46" i="5"/>
  <c r="FT46" i="5"/>
  <c r="FU46" i="5"/>
  <c r="FV46" i="5"/>
  <c r="FW46" i="5"/>
  <c r="FX46" i="5"/>
  <c r="FY46" i="5"/>
  <c r="FZ46" i="5"/>
  <c r="GA46" i="5"/>
  <c r="GB46" i="5"/>
  <c r="GC46" i="5"/>
  <c r="GD46" i="5"/>
  <c r="GE46" i="5"/>
  <c r="GF46" i="5"/>
  <c r="GG46" i="5"/>
  <c r="GH46" i="5"/>
  <c r="GI46" i="5"/>
  <c r="GJ46" i="5"/>
  <c r="GK46" i="5"/>
  <c r="GL46" i="5"/>
  <c r="GM46" i="5"/>
  <c r="GN46" i="5"/>
  <c r="GO46" i="5"/>
  <c r="GP46" i="5"/>
  <c r="GQ46" i="5"/>
  <c r="GR46" i="5"/>
  <c r="GS46" i="5"/>
  <c r="GT46" i="5"/>
  <c r="GU46" i="5"/>
  <c r="GV46" i="5"/>
  <c r="GW46" i="5"/>
  <c r="GX46" i="5"/>
  <c r="GY46" i="5"/>
  <c r="GZ46" i="5"/>
  <c r="HA46" i="5"/>
  <c r="HB46" i="5"/>
  <c r="HC46" i="5"/>
  <c r="HD46" i="5"/>
  <c r="HE46" i="5"/>
  <c r="HF46" i="5"/>
  <c r="HG46" i="5"/>
  <c r="HH46" i="5"/>
  <c r="HI46" i="5"/>
  <c r="HJ46" i="5"/>
  <c r="HK46" i="5"/>
  <c r="HL46" i="5"/>
  <c r="HM46" i="5"/>
  <c r="HN46" i="5"/>
  <c r="HO46" i="5"/>
  <c r="HP46" i="5"/>
  <c r="HQ46" i="5"/>
  <c r="HR46" i="5"/>
  <c r="HS46" i="5"/>
  <c r="HT46" i="5"/>
  <c r="HU46" i="5"/>
  <c r="HV46" i="5"/>
  <c r="HW46" i="5"/>
  <c r="HX46" i="5"/>
  <c r="HY46" i="5"/>
  <c r="HZ46" i="5"/>
  <c r="IA46" i="5"/>
  <c r="IB46" i="5"/>
  <c r="IC46" i="5"/>
  <c r="ID46" i="5"/>
  <c r="IE46" i="5"/>
  <c r="IF46" i="5"/>
  <c r="IG46" i="5"/>
  <c r="IH46" i="5"/>
  <c r="II46" i="5"/>
  <c r="IJ46" i="5"/>
  <c r="IK46" i="5"/>
  <c r="IL46" i="5"/>
  <c r="IM46" i="5"/>
  <c r="IN46" i="5"/>
  <c r="IO46" i="5"/>
  <c r="IP46" i="5"/>
  <c r="IQ46" i="5"/>
  <c r="IR46" i="5"/>
  <c r="IS46" i="5"/>
  <c r="IT46" i="5"/>
  <c r="IU46" i="5"/>
  <c r="IV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GF48" i="5"/>
  <c r="GG48" i="5"/>
  <c r="GH48" i="5"/>
  <c r="GI48" i="5"/>
  <c r="GJ48" i="5"/>
  <c r="GK48" i="5"/>
  <c r="GL48" i="5"/>
  <c r="GM48" i="5"/>
  <c r="GN48" i="5"/>
  <c r="GO48" i="5"/>
  <c r="GP48" i="5"/>
  <c r="GQ48" i="5"/>
  <c r="GR48" i="5"/>
  <c r="GS48" i="5"/>
  <c r="GT48" i="5"/>
  <c r="GU48" i="5"/>
  <c r="GV48" i="5"/>
  <c r="GW48" i="5"/>
  <c r="GX48" i="5"/>
  <c r="GY48" i="5"/>
  <c r="GZ48" i="5"/>
  <c r="HA48" i="5"/>
  <c r="HB48" i="5"/>
  <c r="HC48" i="5"/>
  <c r="HD48" i="5"/>
  <c r="HE48" i="5"/>
  <c r="HF48" i="5"/>
  <c r="HG48" i="5"/>
  <c r="HH48" i="5"/>
  <c r="HI48" i="5"/>
  <c r="HJ48" i="5"/>
  <c r="HK48" i="5"/>
  <c r="HL48" i="5"/>
  <c r="HM48" i="5"/>
  <c r="HN48" i="5"/>
  <c r="HO48" i="5"/>
  <c r="HP48" i="5"/>
  <c r="HQ48" i="5"/>
  <c r="HR48" i="5"/>
  <c r="HS48" i="5"/>
  <c r="HT48" i="5"/>
  <c r="HU48" i="5"/>
  <c r="HV48" i="5"/>
  <c r="HW48" i="5"/>
  <c r="HX48" i="5"/>
  <c r="HY48" i="5"/>
  <c r="HZ48" i="5"/>
  <c r="IA48" i="5"/>
  <c r="IB48" i="5"/>
  <c r="IC48" i="5"/>
  <c r="ID48" i="5"/>
  <c r="IE48" i="5"/>
  <c r="IF48" i="5"/>
  <c r="IG48" i="5"/>
  <c r="IH48" i="5"/>
  <c r="II48" i="5"/>
  <c r="IJ48" i="5"/>
  <c r="IK48" i="5"/>
  <c r="IL48" i="5"/>
  <c r="IM48" i="5"/>
  <c r="IN48" i="5"/>
  <c r="IO48" i="5"/>
  <c r="IP48" i="5"/>
  <c r="IQ48" i="5"/>
  <c r="IR48" i="5"/>
  <c r="IS48" i="5"/>
  <c r="IT48" i="5"/>
  <c r="IU48" i="5"/>
  <c r="IV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GF49" i="5"/>
  <c r="GG49" i="5"/>
  <c r="GH49" i="5"/>
  <c r="GI49" i="5"/>
  <c r="GJ49" i="5"/>
  <c r="GK49" i="5"/>
  <c r="GL49" i="5"/>
  <c r="GM49" i="5"/>
  <c r="GN49" i="5"/>
  <c r="GO49" i="5"/>
  <c r="GP49" i="5"/>
  <c r="GQ49" i="5"/>
  <c r="GR49" i="5"/>
  <c r="GS49" i="5"/>
  <c r="GT49" i="5"/>
  <c r="GU49" i="5"/>
  <c r="GV49" i="5"/>
  <c r="GW49" i="5"/>
  <c r="GX49" i="5"/>
  <c r="GY49" i="5"/>
  <c r="GZ49" i="5"/>
  <c r="HA49" i="5"/>
  <c r="HB49" i="5"/>
  <c r="HC49" i="5"/>
  <c r="HD49" i="5"/>
  <c r="HE49" i="5"/>
  <c r="HF49" i="5"/>
  <c r="HG49" i="5"/>
  <c r="HH49" i="5"/>
  <c r="HI49" i="5"/>
  <c r="HJ49" i="5"/>
  <c r="HK49" i="5"/>
  <c r="HL49" i="5"/>
  <c r="HM49" i="5"/>
  <c r="HN49" i="5"/>
  <c r="HO49" i="5"/>
  <c r="HP49" i="5"/>
  <c r="HQ49" i="5"/>
  <c r="HR49" i="5"/>
  <c r="HS49" i="5"/>
  <c r="HT49" i="5"/>
  <c r="HU49" i="5"/>
  <c r="HV49" i="5"/>
  <c r="HW49" i="5"/>
  <c r="HX49" i="5"/>
  <c r="HY49" i="5"/>
  <c r="HZ49" i="5"/>
  <c r="IA49" i="5"/>
  <c r="IB49" i="5"/>
  <c r="IC49" i="5"/>
  <c r="ID49" i="5"/>
  <c r="IE49" i="5"/>
  <c r="IF49" i="5"/>
  <c r="IG49" i="5"/>
  <c r="IH49" i="5"/>
  <c r="II49" i="5"/>
  <c r="IJ49" i="5"/>
  <c r="IK49" i="5"/>
  <c r="IL49" i="5"/>
  <c r="IM49" i="5"/>
  <c r="IN49" i="5"/>
  <c r="IO49" i="5"/>
  <c r="IP49" i="5"/>
  <c r="IQ49" i="5"/>
  <c r="IR49" i="5"/>
  <c r="IS49" i="5"/>
  <c r="IT49" i="5"/>
  <c r="IU49" i="5"/>
  <c r="IV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DM50" i="5"/>
  <c r="DN50" i="5"/>
  <c r="DO50" i="5"/>
  <c r="DP50" i="5"/>
  <c r="DQ50" i="5"/>
  <c r="DR50" i="5"/>
  <c r="DS50" i="5"/>
  <c r="DT50" i="5"/>
  <c r="DU50" i="5"/>
  <c r="DV50" i="5"/>
  <c r="DW50" i="5"/>
  <c r="DX50" i="5"/>
  <c r="DY50" i="5"/>
  <c r="DZ50" i="5"/>
  <c r="EA50" i="5"/>
  <c r="EB50" i="5"/>
  <c r="EC50" i="5"/>
  <c r="ED50" i="5"/>
  <c r="EE50" i="5"/>
  <c r="EF50" i="5"/>
  <c r="EG50" i="5"/>
  <c r="EH50" i="5"/>
  <c r="EI50" i="5"/>
  <c r="EJ50" i="5"/>
  <c r="EK50" i="5"/>
  <c r="EL50" i="5"/>
  <c r="EM50" i="5"/>
  <c r="EN50" i="5"/>
  <c r="EO50" i="5"/>
  <c r="EP50" i="5"/>
  <c r="EQ50" i="5"/>
  <c r="ER50" i="5"/>
  <c r="ES50" i="5"/>
  <c r="ET50" i="5"/>
  <c r="EU50" i="5"/>
  <c r="EV50" i="5"/>
  <c r="EW50" i="5"/>
  <c r="EX50" i="5"/>
  <c r="EY50" i="5"/>
  <c r="EZ50" i="5"/>
  <c r="FA50" i="5"/>
  <c r="FB50" i="5"/>
  <c r="FC50" i="5"/>
  <c r="FD50" i="5"/>
  <c r="FE50" i="5"/>
  <c r="FF50" i="5"/>
  <c r="FG50" i="5"/>
  <c r="FH50" i="5"/>
  <c r="FI50" i="5"/>
  <c r="FJ50" i="5"/>
  <c r="FK50" i="5"/>
  <c r="FL50" i="5"/>
  <c r="FM50" i="5"/>
  <c r="FN50" i="5"/>
  <c r="FO50" i="5"/>
  <c r="FP50" i="5"/>
  <c r="FQ50" i="5"/>
  <c r="FR50" i="5"/>
  <c r="FS50" i="5"/>
  <c r="FT50" i="5"/>
  <c r="FU50" i="5"/>
  <c r="FV50" i="5"/>
  <c r="FW50" i="5"/>
  <c r="FX50" i="5"/>
  <c r="FY50" i="5"/>
  <c r="FZ50" i="5"/>
  <c r="GA50" i="5"/>
  <c r="GB50" i="5"/>
  <c r="GC50" i="5"/>
  <c r="GD50" i="5"/>
  <c r="GE50" i="5"/>
  <c r="GF50" i="5"/>
  <c r="GG50" i="5"/>
  <c r="GH50" i="5"/>
  <c r="GI50" i="5"/>
  <c r="GJ50" i="5"/>
  <c r="GK50" i="5"/>
  <c r="GL50" i="5"/>
  <c r="GM50" i="5"/>
  <c r="GN50" i="5"/>
  <c r="GO50" i="5"/>
  <c r="GP50" i="5"/>
  <c r="GQ50" i="5"/>
  <c r="GR50" i="5"/>
  <c r="GS50" i="5"/>
  <c r="GT50" i="5"/>
  <c r="GU50" i="5"/>
  <c r="GV50" i="5"/>
  <c r="GW50" i="5"/>
  <c r="GX50" i="5"/>
  <c r="GY50" i="5"/>
  <c r="GZ50" i="5"/>
  <c r="HA50" i="5"/>
  <c r="HB50" i="5"/>
  <c r="HC50" i="5"/>
  <c r="HD50" i="5"/>
  <c r="HE50" i="5"/>
  <c r="HF50" i="5"/>
  <c r="HG50" i="5"/>
  <c r="HH50" i="5"/>
  <c r="HI50" i="5"/>
  <c r="HJ50" i="5"/>
  <c r="HK50" i="5"/>
  <c r="HL50" i="5"/>
  <c r="HM50" i="5"/>
  <c r="HN50" i="5"/>
  <c r="HO50" i="5"/>
  <c r="HP50" i="5"/>
  <c r="HQ50" i="5"/>
  <c r="HR50" i="5"/>
  <c r="HS50" i="5"/>
  <c r="HT50" i="5"/>
  <c r="HU50" i="5"/>
  <c r="HV50" i="5"/>
  <c r="HW50" i="5"/>
  <c r="HX50" i="5"/>
  <c r="HY50" i="5"/>
  <c r="HZ50" i="5"/>
  <c r="IA50" i="5"/>
  <c r="IB50" i="5"/>
  <c r="IC50" i="5"/>
  <c r="ID50" i="5"/>
  <c r="IE50" i="5"/>
  <c r="IF50" i="5"/>
  <c r="IG50" i="5"/>
  <c r="IH50" i="5"/>
  <c r="II50" i="5"/>
  <c r="IJ50" i="5"/>
  <c r="IK50" i="5"/>
  <c r="IL50" i="5"/>
  <c r="IM50" i="5"/>
  <c r="IN50" i="5"/>
  <c r="IO50" i="5"/>
  <c r="IP50" i="5"/>
  <c r="IQ50" i="5"/>
  <c r="IR50" i="5"/>
  <c r="IS50" i="5"/>
  <c r="IT50" i="5"/>
  <c r="IU50" i="5"/>
  <c r="IV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DE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EE51" i="5"/>
  <c r="EF51" i="5"/>
  <c r="EG51" i="5"/>
  <c r="EH51" i="5"/>
  <c r="EI51" i="5"/>
  <c r="EJ51" i="5"/>
  <c r="EK51" i="5"/>
  <c r="EL51" i="5"/>
  <c r="EM51" i="5"/>
  <c r="EN51" i="5"/>
  <c r="EO51" i="5"/>
  <c r="EP51" i="5"/>
  <c r="EQ51" i="5"/>
  <c r="ER51" i="5"/>
  <c r="ES51" i="5"/>
  <c r="ET51" i="5"/>
  <c r="EU51" i="5"/>
  <c r="EV51" i="5"/>
  <c r="EW51" i="5"/>
  <c r="EX51" i="5"/>
  <c r="EY51" i="5"/>
  <c r="EZ51" i="5"/>
  <c r="FA51" i="5"/>
  <c r="FB51" i="5"/>
  <c r="FC51" i="5"/>
  <c r="FD51" i="5"/>
  <c r="FE51" i="5"/>
  <c r="FF51" i="5"/>
  <c r="FG51" i="5"/>
  <c r="FH51" i="5"/>
  <c r="FI51" i="5"/>
  <c r="FJ51" i="5"/>
  <c r="FK51" i="5"/>
  <c r="FL51" i="5"/>
  <c r="FM51" i="5"/>
  <c r="FN51" i="5"/>
  <c r="FO51" i="5"/>
  <c r="FP51" i="5"/>
  <c r="FQ51" i="5"/>
  <c r="FR51" i="5"/>
  <c r="FS51" i="5"/>
  <c r="FT51" i="5"/>
  <c r="FU51" i="5"/>
  <c r="FV51" i="5"/>
  <c r="FW51" i="5"/>
  <c r="FX51" i="5"/>
  <c r="FY51" i="5"/>
  <c r="FZ51" i="5"/>
  <c r="GA51" i="5"/>
  <c r="GB51" i="5"/>
  <c r="GC51" i="5"/>
  <c r="GD51" i="5"/>
  <c r="GE51" i="5"/>
  <c r="GF51" i="5"/>
  <c r="GG51" i="5"/>
  <c r="GH51" i="5"/>
  <c r="GI51" i="5"/>
  <c r="GJ51" i="5"/>
  <c r="GK51" i="5"/>
  <c r="GL51" i="5"/>
  <c r="GM51" i="5"/>
  <c r="GN51" i="5"/>
  <c r="GO51" i="5"/>
  <c r="GP51" i="5"/>
  <c r="GQ51" i="5"/>
  <c r="GR51" i="5"/>
  <c r="GS51" i="5"/>
  <c r="GT51" i="5"/>
  <c r="GU51" i="5"/>
  <c r="GV51" i="5"/>
  <c r="GW51" i="5"/>
  <c r="GX51" i="5"/>
  <c r="GY51" i="5"/>
  <c r="GZ51" i="5"/>
  <c r="HA51" i="5"/>
  <c r="HB51" i="5"/>
  <c r="HC51" i="5"/>
  <c r="HD51" i="5"/>
  <c r="HE51" i="5"/>
  <c r="HF51" i="5"/>
  <c r="HG51" i="5"/>
  <c r="HH51" i="5"/>
  <c r="HI51" i="5"/>
  <c r="HJ51" i="5"/>
  <c r="HK51" i="5"/>
  <c r="HL51" i="5"/>
  <c r="HM51" i="5"/>
  <c r="HN51" i="5"/>
  <c r="HO51" i="5"/>
  <c r="HP51" i="5"/>
  <c r="HQ51" i="5"/>
  <c r="HR51" i="5"/>
  <c r="HS51" i="5"/>
  <c r="HT51" i="5"/>
  <c r="HU51" i="5"/>
  <c r="HV51" i="5"/>
  <c r="HW51" i="5"/>
  <c r="HX51" i="5"/>
  <c r="HY51" i="5"/>
  <c r="HZ51" i="5"/>
  <c r="IA51" i="5"/>
  <c r="IB51" i="5"/>
  <c r="IC51" i="5"/>
  <c r="ID51" i="5"/>
  <c r="IE51" i="5"/>
  <c r="IF51" i="5"/>
  <c r="IG51" i="5"/>
  <c r="IH51" i="5"/>
  <c r="II51" i="5"/>
  <c r="IJ51" i="5"/>
  <c r="IK51" i="5"/>
  <c r="IL51" i="5"/>
  <c r="IM51" i="5"/>
  <c r="IN51" i="5"/>
  <c r="IO51" i="5"/>
  <c r="IP51" i="5"/>
  <c r="IQ51" i="5"/>
  <c r="IR51" i="5"/>
  <c r="IS51" i="5"/>
  <c r="IT51" i="5"/>
  <c r="IU51" i="5"/>
  <c r="IV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E52" i="5"/>
  <c r="DF52" i="5"/>
  <c r="DG52" i="5"/>
  <c r="DH52" i="5"/>
  <c r="DI52" i="5"/>
  <c r="DJ52" i="5"/>
  <c r="DK52" i="5"/>
  <c r="DL52" i="5"/>
  <c r="DM52" i="5"/>
  <c r="DN52" i="5"/>
  <c r="DO52" i="5"/>
  <c r="DP52" i="5"/>
  <c r="DQ52" i="5"/>
  <c r="DR52" i="5"/>
  <c r="DS52" i="5"/>
  <c r="DT52" i="5"/>
  <c r="DU52" i="5"/>
  <c r="DV52" i="5"/>
  <c r="DW52" i="5"/>
  <c r="DX52" i="5"/>
  <c r="DY52" i="5"/>
  <c r="DZ52" i="5"/>
  <c r="EA52" i="5"/>
  <c r="EB52" i="5"/>
  <c r="EC52" i="5"/>
  <c r="ED52" i="5"/>
  <c r="EE52" i="5"/>
  <c r="EF52" i="5"/>
  <c r="EG52" i="5"/>
  <c r="EH52" i="5"/>
  <c r="EI52" i="5"/>
  <c r="EJ52" i="5"/>
  <c r="EK52" i="5"/>
  <c r="EL52" i="5"/>
  <c r="EM52" i="5"/>
  <c r="EN52" i="5"/>
  <c r="EO52" i="5"/>
  <c r="EP52" i="5"/>
  <c r="EQ52" i="5"/>
  <c r="ER52" i="5"/>
  <c r="ES52" i="5"/>
  <c r="ET52" i="5"/>
  <c r="EU52" i="5"/>
  <c r="EV52" i="5"/>
  <c r="EW52" i="5"/>
  <c r="EX52" i="5"/>
  <c r="EY52" i="5"/>
  <c r="EZ52" i="5"/>
  <c r="FA52" i="5"/>
  <c r="FB52" i="5"/>
  <c r="FC52" i="5"/>
  <c r="FD52" i="5"/>
  <c r="FE52" i="5"/>
  <c r="FF52" i="5"/>
  <c r="FG52" i="5"/>
  <c r="FH52" i="5"/>
  <c r="FI52" i="5"/>
  <c r="FJ52" i="5"/>
  <c r="FK52" i="5"/>
  <c r="FL52" i="5"/>
  <c r="FM52" i="5"/>
  <c r="FN52" i="5"/>
  <c r="FO52" i="5"/>
  <c r="FP52" i="5"/>
  <c r="FQ52" i="5"/>
  <c r="FR52" i="5"/>
  <c r="FS52" i="5"/>
  <c r="FT52" i="5"/>
  <c r="FU52" i="5"/>
  <c r="FV52" i="5"/>
  <c r="FW52" i="5"/>
  <c r="FX52" i="5"/>
  <c r="FY52" i="5"/>
  <c r="FZ52" i="5"/>
  <c r="GA52" i="5"/>
  <c r="GB52" i="5"/>
  <c r="GC52" i="5"/>
  <c r="GD52" i="5"/>
  <c r="GE52" i="5"/>
  <c r="GF52" i="5"/>
  <c r="GG52" i="5"/>
  <c r="GH52" i="5"/>
  <c r="GI52" i="5"/>
  <c r="GJ52" i="5"/>
  <c r="GK52" i="5"/>
  <c r="GL52" i="5"/>
  <c r="GM52" i="5"/>
  <c r="GN52" i="5"/>
  <c r="GO52" i="5"/>
  <c r="GP52" i="5"/>
  <c r="GQ52" i="5"/>
  <c r="GR52" i="5"/>
  <c r="GS52" i="5"/>
  <c r="GT52" i="5"/>
  <c r="GU52" i="5"/>
  <c r="GV52" i="5"/>
  <c r="GW52" i="5"/>
  <c r="GX52" i="5"/>
  <c r="GY52" i="5"/>
  <c r="GZ52" i="5"/>
  <c r="HA52" i="5"/>
  <c r="HB52" i="5"/>
  <c r="HC52" i="5"/>
  <c r="HD52" i="5"/>
  <c r="HE52" i="5"/>
  <c r="HF52" i="5"/>
  <c r="HG52" i="5"/>
  <c r="HH52" i="5"/>
  <c r="HI52" i="5"/>
  <c r="HJ52" i="5"/>
  <c r="HK52" i="5"/>
  <c r="HL52" i="5"/>
  <c r="HM52" i="5"/>
  <c r="HN52" i="5"/>
  <c r="HO52" i="5"/>
  <c r="HP52" i="5"/>
  <c r="HQ52" i="5"/>
  <c r="HR52" i="5"/>
  <c r="HS52" i="5"/>
  <c r="HT52" i="5"/>
  <c r="HU52" i="5"/>
  <c r="HV52" i="5"/>
  <c r="HW52" i="5"/>
  <c r="HX52" i="5"/>
  <c r="HY52" i="5"/>
  <c r="HZ52" i="5"/>
  <c r="IA52" i="5"/>
  <c r="IB52" i="5"/>
  <c r="IC52" i="5"/>
  <c r="ID52" i="5"/>
  <c r="IE52" i="5"/>
  <c r="IF52" i="5"/>
  <c r="IG52" i="5"/>
  <c r="IH52" i="5"/>
  <c r="II52" i="5"/>
  <c r="IJ52" i="5"/>
  <c r="IK52" i="5"/>
  <c r="IL52" i="5"/>
  <c r="IM52" i="5"/>
  <c r="IN52" i="5"/>
  <c r="IO52" i="5"/>
  <c r="IP52" i="5"/>
  <c r="IQ52" i="5"/>
  <c r="IR52" i="5"/>
  <c r="IS52" i="5"/>
  <c r="IT52" i="5"/>
  <c r="IU52" i="5"/>
  <c r="IV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DE53" i="5"/>
  <c r="DF53" i="5"/>
  <c r="DG53" i="5"/>
  <c r="DH53" i="5"/>
  <c r="DI53" i="5"/>
  <c r="DJ53" i="5"/>
  <c r="DK53" i="5"/>
  <c r="DL53" i="5"/>
  <c r="DM53" i="5"/>
  <c r="DN53" i="5"/>
  <c r="DO53" i="5"/>
  <c r="DP53" i="5"/>
  <c r="DQ53" i="5"/>
  <c r="DR53" i="5"/>
  <c r="DS53" i="5"/>
  <c r="DT53" i="5"/>
  <c r="DU53" i="5"/>
  <c r="DV53" i="5"/>
  <c r="DW53" i="5"/>
  <c r="DX53" i="5"/>
  <c r="DY53" i="5"/>
  <c r="DZ53" i="5"/>
  <c r="EA53" i="5"/>
  <c r="EB53" i="5"/>
  <c r="EC53" i="5"/>
  <c r="ED53" i="5"/>
  <c r="EE53" i="5"/>
  <c r="EF53" i="5"/>
  <c r="EG53" i="5"/>
  <c r="EH53" i="5"/>
  <c r="EI53" i="5"/>
  <c r="EJ53" i="5"/>
  <c r="EK53" i="5"/>
  <c r="EL53" i="5"/>
  <c r="EM53" i="5"/>
  <c r="EN53" i="5"/>
  <c r="EO53" i="5"/>
  <c r="EP53" i="5"/>
  <c r="EQ53" i="5"/>
  <c r="ER53" i="5"/>
  <c r="ES53" i="5"/>
  <c r="ET53" i="5"/>
  <c r="EU53" i="5"/>
  <c r="EV53" i="5"/>
  <c r="EW53" i="5"/>
  <c r="EX53" i="5"/>
  <c r="EY53" i="5"/>
  <c r="EZ53" i="5"/>
  <c r="FA53" i="5"/>
  <c r="FB53" i="5"/>
  <c r="FC53" i="5"/>
  <c r="FD53" i="5"/>
  <c r="FE53" i="5"/>
  <c r="FF53" i="5"/>
  <c r="FG53" i="5"/>
  <c r="FH53" i="5"/>
  <c r="FI53" i="5"/>
  <c r="FJ53" i="5"/>
  <c r="FK53" i="5"/>
  <c r="FL53" i="5"/>
  <c r="FM53" i="5"/>
  <c r="FN53" i="5"/>
  <c r="FO53" i="5"/>
  <c r="FP53" i="5"/>
  <c r="FQ53" i="5"/>
  <c r="FR53" i="5"/>
  <c r="FS53" i="5"/>
  <c r="FT53" i="5"/>
  <c r="FU53" i="5"/>
  <c r="FV53" i="5"/>
  <c r="FW53" i="5"/>
  <c r="FX53" i="5"/>
  <c r="FY53" i="5"/>
  <c r="FZ53" i="5"/>
  <c r="GA53" i="5"/>
  <c r="GB53" i="5"/>
  <c r="GC53" i="5"/>
  <c r="GD53" i="5"/>
  <c r="GE53" i="5"/>
  <c r="GF53" i="5"/>
  <c r="GG53" i="5"/>
  <c r="GH53" i="5"/>
  <c r="GI53" i="5"/>
  <c r="GJ53" i="5"/>
  <c r="GK53" i="5"/>
  <c r="GL53" i="5"/>
  <c r="GM53" i="5"/>
  <c r="GN53" i="5"/>
  <c r="GO53" i="5"/>
  <c r="GP53" i="5"/>
  <c r="GQ53" i="5"/>
  <c r="GR53" i="5"/>
  <c r="GS53" i="5"/>
  <c r="GT53" i="5"/>
  <c r="GU53" i="5"/>
  <c r="GV53" i="5"/>
  <c r="GW53" i="5"/>
  <c r="GX53" i="5"/>
  <c r="GY53" i="5"/>
  <c r="GZ53" i="5"/>
  <c r="HA53" i="5"/>
  <c r="HB53" i="5"/>
  <c r="HC53" i="5"/>
  <c r="HD53" i="5"/>
  <c r="HE53" i="5"/>
  <c r="HF53" i="5"/>
  <c r="HG53" i="5"/>
  <c r="HH53" i="5"/>
  <c r="HI53" i="5"/>
  <c r="HJ53" i="5"/>
  <c r="HK53" i="5"/>
  <c r="HL53" i="5"/>
  <c r="HM53" i="5"/>
  <c r="HN53" i="5"/>
  <c r="HO53" i="5"/>
  <c r="HP53" i="5"/>
  <c r="HQ53" i="5"/>
  <c r="HR53" i="5"/>
  <c r="HS53" i="5"/>
  <c r="HT53" i="5"/>
  <c r="HU53" i="5"/>
  <c r="HV53" i="5"/>
  <c r="HW53" i="5"/>
  <c r="HX53" i="5"/>
  <c r="HY53" i="5"/>
  <c r="HZ53" i="5"/>
  <c r="IA53" i="5"/>
  <c r="IB53" i="5"/>
  <c r="IC53" i="5"/>
  <c r="ID53" i="5"/>
  <c r="IE53" i="5"/>
  <c r="IF53" i="5"/>
  <c r="IG53" i="5"/>
  <c r="IH53" i="5"/>
  <c r="II53" i="5"/>
  <c r="IJ53" i="5"/>
  <c r="IK53" i="5"/>
  <c r="IL53" i="5"/>
  <c r="IM53" i="5"/>
  <c r="IN53" i="5"/>
  <c r="IO53" i="5"/>
  <c r="IP53" i="5"/>
  <c r="IQ53" i="5"/>
  <c r="IR53" i="5"/>
  <c r="IS53" i="5"/>
  <c r="IT53" i="5"/>
  <c r="IU53" i="5"/>
  <c r="IV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DE54" i="5"/>
  <c r="DF54" i="5"/>
  <c r="DG54" i="5"/>
  <c r="DH54" i="5"/>
  <c r="DI54" i="5"/>
  <c r="DJ54" i="5"/>
  <c r="DK54" i="5"/>
  <c r="DL54" i="5"/>
  <c r="DM54" i="5"/>
  <c r="DN54" i="5"/>
  <c r="DO54" i="5"/>
  <c r="DP54" i="5"/>
  <c r="DQ54" i="5"/>
  <c r="DR54" i="5"/>
  <c r="DS54" i="5"/>
  <c r="DT54" i="5"/>
  <c r="DU54" i="5"/>
  <c r="DV54" i="5"/>
  <c r="DW54" i="5"/>
  <c r="DX54" i="5"/>
  <c r="DY54" i="5"/>
  <c r="DZ54" i="5"/>
  <c r="EA54" i="5"/>
  <c r="EB54" i="5"/>
  <c r="EC54" i="5"/>
  <c r="ED54" i="5"/>
  <c r="EE54" i="5"/>
  <c r="EF54" i="5"/>
  <c r="EG54" i="5"/>
  <c r="EH54" i="5"/>
  <c r="EI54" i="5"/>
  <c r="EJ54" i="5"/>
  <c r="EK54" i="5"/>
  <c r="EL54" i="5"/>
  <c r="EM54" i="5"/>
  <c r="EN54" i="5"/>
  <c r="EO54" i="5"/>
  <c r="EP54" i="5"/>
  <c r="EQ54" i="5"/>
  <c r="ER54" i="5"/>
  <c r="ES54" i="5"/>
  <c r="ET54" i="5"/>
  <c r="EU54" i="5"/>
  <c r="EV54" i="5"/>
  <c r="EW54" i="5"/>
  <c r="EX54" i="5"/>
  <c r="EY54" i="5"/>
  <c r="EZ54" i="5"/>
  <c r="FA54" i="5"/>
  <c r="FB54" i="5"/>
  <c r="FC54" i="5"/>
  <c r="FD54" i="5"/>
  <c r="FE54" i="5"/>
  <c r="FF54" i="5"/>
  <c r="FG54" i="5"/>
  <c r="FH54" i="5"/>
  <c r="FI54" i="5"/>
  <c r="FJ54" i="5"/>
  <c r="FK54" i="5"/>
  <c r="FL54" i="5"/>
  <c r="FM54" i="5"/>
  <c r="FN54" i="5"/>
  <c r="FO54" i="5"/>
  <c r="FP54" i="5"/>
  <c r="FQ54" i="5"/>
  <c r="FR54" i="5"/>
  <c r="FS54" i="5"/>
  <c r="FT54" i="5"/>
  <c r="FU54" i="5"/>
  <c r="FV54" i="5"/>
  <c r="FW54" i="5"/>
  <c r="FX54" i="5"/>
  <c r="FY54" i="5"/>
  <c r="FZ54" i="5"/>
  <c r="GA54" i="5"/>
  <c r="GB54" i="5"/>
  <c r="GC54" i="5"/>
  <c r="GD54" i="5"/>
  <c r="GE54" i="5"/>
  <c r="GF54" i="5"/>
  <c r="GG54" i="5"/>
  <c r="GH54" i="5"/>
  <c r="GI54" i="5"/>
  <c r="GJ54" i="5"/>
  <c r="GK54" i="5"/>
  <c r="GL54" i="5"/>
  <c r="GM54" i="5"/>
  <c r="GN54" i="5"/>
  <c r="GO54" i="5"/>
  <c r="GP54" i="5"/>
  <c r="GQ54" i="5"/>
  <c r="GR54" i="5"/>
  <c r="GS54" i="5"/>
  <c r="GT54" i="5"/>
  <c r="GU54" i="5"/>
  <c r="GV54" i="5"/>
  <c r="GW54" i="5"/>
  <c r="GX54" i="5"/>
  <c r="GY54" i="5"/>
  <c r="GZ54" i="5"/>
  <c r="HA54" i="5"/>
  <c r="HB54" i="5"/>
  <c r="HC54" i="5"/>
  <c r="HD54" i="5"/>
  <c r="HE54" i="5"/>
  <c r="HF54" i="5"/>
  <c r="HG54" i="5"/>
  <c r="HH54" i="5"/>
  <c r="HI54" i="5"/>
  <c r="HJ54" i="5"/>
  <c r="HK54" i="5"/>
  <c r="HL54" i="5"/>
  <c r="HM54" i="5"/>
  <c r="HN54" i="5"/>
  <c r="HO54" i="5"/>
  <c r="HP54" i="5"/>
  <c r="HQ54" i="5"/>
  <c r="HR54" i="5"/>
  <c r="HS54" i="5"/>
  <c r="HT54" i="5"/>
  <c r="HU54" i="5"/>
  <c r="HV54" i="5"/>
  <c r="HW54" i="5"/>
  <c r="HX54" i="5"/>
  <c r="HY54" i="5"/>
  <c r="HZ54" i="5"/>
  <c r="IA54" i="5"/>
  <c r="IB54" i="5"/>
  <c r="IC54" i="5"/>
  <c r="ID54" i="5"/>
  <c r="IE54" i="5"/>
  <c r="IF54" i="5"/>
  <c r="IG54" i="5"/>
  <c r="IH54" i="5"/>
  <c r="II54" i="5"/>
  <c r="IJ54" i="5"/>
  <c r="IK54" i="5"/>
  <c r="IL54" i="5"/>
  <c r="IM54" i="5"/>
  <c r="IN54" i="5"/>
  <c r="IO54" i="5"/>
  <c r="IP54" i="5"/>
  <c r="IQ54" i="5"/>
  <c r="IR54" i="5"/>
  <c r="IS54" i="5"/>
  <c r="IT54" i="5"/>
  <c r="IU54" i="5"/>
  <c r="IV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EA55" i="5"/>
  <c r="EB55" i="5"/>
  <c r="EC55" i="5"/>
  <c r="ED55" i="5"/>
  <c r="EE55" i="5"/>
  <c r="EF55" i="5"/>
  <c r="EG55" i="5"/>
  <c r="EH55" i="5"/>
  <c r="EI55" i="5"/>
  <c r="EJ55" i="5"/>
  <c r="EK55" i="5"/>
  <c r="EL55" i="5"/>
  <c r="EM55" i="5"/>
  <c r="EN55" i="5"/>
  <c r="EO55" i="5"/>
  <c r="EP55" i="5"/>
  <c r="EQ55" i="5"/>
  <c r="ER55" i="5"/>
  <c r="ES55" i="5"/>
  <c r="ET55" i="5"/>
  <c r="EU55" i="5"/>
  <c r="EV55" i="5"/>
  <c r="EW55" i="5"/>
  <c r="EX55" i="5"/>
  <c r="EY55" i="5"/>
  <c r="EZ55" i="5"/>
  <c r="FA55" i="5"/>
  <c r="FB55" i="5"/>
  <c r="FC55" i="5"/>
  <c r="FD55" i="5"/>
  <c r="FE55" i="5"/>
  <c r="FF55" i="5"/>
  <c r="FG55" i="5"/>
  <c r="FH55" i="5"/>
  <c r="FI55" i="5"/>
  <c r="FJ55" i="5"/>
  <c r="FK55" i="5"/>
  <c r="FL55" i="5"/>
  <c r="FM55" i="5"/>
  <c r="FN55" i="5"/>
  <c r="FO55" i="5"/>
  <c r="FP55" i="5"/>
  <c r="FQ55" i="5"/>
  <c r="FR55" i="5"/>
  <c r="FS55" i="5"/>
  <c r="FT55" i="5"/>
  <c r="FU55" i="5"/>
  <c r="FV55" i="5"/>
  <c r="FW55" i="5"/>
  <c r="FX55" i="5"/>
  <c r="FY55" i="5"/>
  <c r="FZ55" i="5"/>
  <c r="GA55" i="5"/>
  <c r="GB55" i="5"/>
  <c r="GC55" i="5"/>
  <c r="GD55" i="5"/>
  <c r="GE55" i="5"/>
  <c r="GF55" i="5"/>
  <c r="GG55" i="5"/>
  <c r="GH55" i="5"/>
  <c r="GI55" i="5"/>
  <c r="GJ55" i="5"/>
  <c r="GK55" i="5"/>
  <c r="GL55" i="5"/>
  <c r="GM55" i="5"/>
  <c r="GN55" i="5"/>
  <c r="GO55" i="5"/>
  <c r="GP55" i="5"/>
  <c r="GQ55" i="5"/>
  <c r="GR55" i="5"/>
  <c r="GS55" i="5"/>
  <c r="GT55" i="5"/>
  <c r="GU55" i="5"/>
  <c r="GV55" i="5"/>
  <c r="GW55" i="5"/>
  <c r="GX55" i="5"/>
  <c r="GY55" i="5"/>
  <c r="GZ55" i="5"/>
  <c r="HA55" i="5"/>
  <c r="HB55" i="5"/>
  <c r="HC55" i="5"/>
  <c r="HD55" i="5"/>
  <c r="HE55" i="5"/>
  <c r="HF55" i="5"/>
  <c r="HG55" i="5"/>
  <c r="HH55" i="5"/>
  <c r="HI55" i="5"/>
  <c r="HJ55" i="5"/>
  <c r="HK55" i="5"/>
  <c r="HL55" i="5"/>
  <c r="HM55" i="5"/>
  <c r="HN55" i="5"/>
  <c r="HO55" i="5"/>
  <c r="HP55" i="5"/>
  <c r="HQ55" i="5"/>
  <c r="HR55" i="5"/>
  <c r="HS55" i="5"/>
  <c r="HT55" i="5"/>
  <c r="HU55" i="5"/>
  <c r="HV55" i="5"/>
  <c r="HW55" i="5"/>
  <c r="HX55" i="5"/>
  <c r="HY55" i="5"/>
  <c r="HZ55" i="5"/>
  <c r="IA55" i="5"/>
  <c r="IB55" i="5"/>
  <c r="IC55" i="5"/>
  <c r="ID55" i="5"/>
  <c r="IE55" i="5"/>
  <c r="IF55" i="5"/>
  <c r="IG55" i="5"/>
  <c r="IH55" i="5"/>
  <c r="II55" i="5"/>
  <c r="IJ55" i="5"/>
  <c r="IK55" i="5"/>
  <c r="IL55" i="5"/>
  <c r="IM55" i="5"/>
  <c r="IN55" i="5"/>
  <c r="IO55" i="5"/>
  <c r="IP55" i="5"/>
  <c r="IQ55" i="5"/>
  <c r="IR55" i="5"/>
  <c r="IS55" i="5"/>
  <c r="IT55" i="5"/>
  <c r="IU55" i="5"/>
  <c r="IV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E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W56" i="5"/>
  <c r="EX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FS56" i="5"/>
  <c r="FT56" i="5"/>
  <c r="FU56" i="5"/>
  <c r="FV56" i="5"/>
  <c r="FW56" i="5"/>
  <c r="FX56" i="5"/>
  <c r="FY56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GP56" i="5"/>
  <c r="GQ56" i="5"/>
  <c r="GR56" i="5"/>
  <c r="GS56" i="5"/>
  <c r="GT56" i="5"/>
  <c r="GU56" i="5"/>
  <c r="GV56" i="5"/>
  <c r="GW56" i="5"/>
  <c r="GX56" i="5"/>
  <c r="GY56" i="5"/>
  <c r="GZ56" i="5"/>
  <c r="HA56" i="5"/>
  <c r="HB56" i="5"/>
  <c r="HC56" i="5"/>
  <c r="HD56" i="5"/>
  <c r="HE56" i="5"/>
  <c r="HF56" i="5"/>
  <c r="HG56" i="5"/>
  <c r="HH56" i="5"/>
  <c r="HI56" i="5"/>
  <c r="HJ56" i="5"/>
  <c r="HK56" i="5"/>
  <c r="HL56" i="5"/>
  <c r="HM56" i="5"/>
  <c r="HN56" i="5"/>
  <c r="HO56" i="5"/>
  <c r="HP56" i="5"/>
  <c r="HQ56" i="5"/>
  <c r="HR56" i="5"/>
  <c r="HS56" i="5"/>
  <c r="HT56" i="5"/>
  <c r="HU56" i="5"/>
  <c r="HV56" i="5"/>
  <c r="HW56" i="5"/>
  <c r="HX56" i="5"/>
  <c r="HY56" i="5"/>
  <c r="HZ56" i="5"/>
  <c r="IA56" i="5"/>
  <c r="IB56" i="5"/>
  <c r="IC56" i="5"/>
  <c r="ID56" i="5"/>
  <c r="IE56" i="5"/>
  <c r="IF56" i="5"/>
  <c r="IG56" i="5"/>
  <c r="IH56" i="5"/>
  <c r="II56" i="5"/>
  <c r="IJ56" i="5"/>
  <c r="IK56" i="5"/>
  <c r="IL56" i="5"/>
  <c r="IM56" i="5"/>
  <c r="IN56" i="5"/>
  <c r="IO56" i="5"/>
  <c r="IP56" i="5"/>
  <c r="IQ56" i="5"/>
  <c r="IR56" i="5"/>
  <c r="IS56" i="5"/>
  <c r="IT56" i="5"/>
  <c r="IU56" i="5"/>
  <c r="IV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P57" i="5"/>
  <c r="CQ57" i="5"/>
  <c r="CR57" i="5"/>
  <c r="CS57" i="5"/>
  <c r="CT57" i="5"/>
  <c r="CU57" i="5"/>
  <c r="CV57" i="5"/>
  <c r="CW57" i="5"/>
  <c r="CX57" i="5"/>
  <c r="CY57" i="5"/>
  <c r="CZ57" i="5"/>
  <c r="DA57" i="5"/>
  <c r="DB57" i="5"/>
  <c r="DC57" i="5"/>
  <c r="DD57" i="5"/>
  <c r="DE57" i="5"/>
  <c r="DF57" i="5"/>
  <c r="DG57" i="5"/>
  <c r="DH57" i="5"/>
  <c r="DI57" i="5"/>
  <c r="DJ57" i="5"/>
  <c r="DK57" i="5"/>
  <c r="DL57" i="5"/>
  <c r="DM57" i="5"/>
  <c r="DN57" i="5"/>
  <c r="DO57" i="5"/>
  <c r="DP57" i="5"/>
  <c r="DQ57" i="5"/>
  <c r="DR57" i="5"/>
  <c r="DS57" i="5"/>
  <c r="DT57" i="5"/>
  <c r="DU57" i="5"/>
  <c r="DV57" i="5"/>
  <c r="DW57" i="5"/>
  <c r="DX57" i="5"/>
  <c r="DY57" i="5"/>
  <c r="DZ57" i="5"/>
  <c r="EA57" i="5"/>
  <c r="EB57" i="5"/>
  <c r="EC57" i="5"/>
  <c r="ED57" i="5"/>
  <c r="EE57" i="5"/>
  <c r="EF57" i="5"/>
  <c r="EG57" i="5"/>
  <c r="EH57" i="5"/>
  <c r="EI57" i="5"/>
  <c r="EJ57" i="5"/>
  <c r="EK57" i="5"/>
  <c r="EL57" i="5"/>
  <c r="EM57" i="5"/>
  <c r="EN57" i="5"/>
  <c r="EO57" i="5"/>
  <c r="EP57" i="5"/>
  <c r="EQ57" i="5"/>
  <c r="ER57" i="5"/>
  <c r="ES57" i="5"/>
  <c r="ET57" i="5"/>
  <c r="EU57" i="5"/>
  <c r="EV57" i="5"/>
  <c r="EW57" i="5"/>
  <c r="EX57" i="5"/>
  <c r="EY57" i="5"/>
  <c r="EZ57" i="5"/>
  <c r="FA57" i="5"/>
  <c r="FB57" i="5"/>
  <c r="FC57" i="5"/>
  <c r="FD57" i="5"/>
  <c r="FE57" i="5"/>
  <c r="FF57" i="5"/>
  <c r="FG57" i="5"/>
  <c r="FH57" i="5"/>
  <c r="FI57" i="5"/>
  <c r="FJ57" i="5"/>
  <c r="FK57" i="5"/>
  <c r="FL57" i="5"/>
  <c r="FM57" i="5"/>
  <c r="FN57" i="5"/>
  <c r="FO57" i="5"/>
  <c r="FP57" i="5"/>
  <c r="FQ57" i="5"/>
  <c r="FR57" i="5"/>
  <c r="FS57" i="5"/>
  <c r="FT57" i="5"/>
  <c r="FU57" i="5"/>
  <c r="FV57" i="5"/>
  <c r="FW57" i="5"/>
  <c r="FX57" i="5"/>
  <c r="FY57" i="5"/>
  <c r="FZ57" i="5"/>
  <c r="GA57" i="5"/>
  <c r="GB57" i="5"/>
  <c r="GC57" i="5"/>
  <c r="GD57" i="5"/>
  <c r="GE57" i="5"/>
  <c r="GF57" i="5"/>
  <c r="GG57" i="5"/>
  <c r="GH57" i="5"/>
  <c r="GI57" i="5"/>
  <c r="GJ57" i="5"/>
  <c r="GK57" i="5"/>
  <c r="GL57" i="5"/>
  <c r="GM57" i="5"/>
  <c r="GN57" i="5"/>
  <c r="GO57" i="5"/>
  <c r="GP57" i="5"/>
  <c r="GQ57" i="5"/>
  <c r="GR57" i="5"/>
  <c r="GS57" i="5"/>
  <c r="GT57" i="5"/>
  <c r="GU57" i="5"/>
  <c r="GV57" i="5"/>
  <c r="GW57" i="5"/>
  <c r="GX57" i="5"/>
  <c r="GY57" i="5"/>
  <c r="GZ57" i="5"/>
  <c r="HA57" i="5"/>
  <c r="HB57" i="5"/>
  <c r="HC57" i="5"/>
  <c r="HD57" i="5"/>
  <c r="HE57" i="5"/>
  <c r="HF57" i="5"/>
  <c r="HG57" i="5"/>
  <c r="HH57" i="5"/>
  <c r="HI57" i="5"/>
  <c r="HJ57" i="5"/>
  <c r="HK57" i="5"/>
  <c r="HL57" i="5"/>
  <c r="HM57" i="5"/>
  <c r="HN57" i="5"/>
  <c r="HO57" i="5"/>
  <c r="HP57" i="5"/>
  <c r="HQ57" i="5"/>
  <c r="HR57" i="5"/>
  <c r="HS57" i="5"/>
  <c r="HT57" i="5"/>
  <c r="HU57" i="5"/>
  <c r="HV57" i="5"/>
  <c r="HW57" i="5"/>
  <c r="HX57" i="5"/>
  <c r="HY57" i="5"/>
  <c r="HZ57" i="5"/>
  <c r="IA57" i="5"/>
  <c r="IB57" i="5"/>
  <c r="IC57" i="5"/>
  <c r="ID57" i="5"/>
  <c r="IE57" i="5"/>
  <c r="IF57" i="5"/>
  <c r="IG57" i="5"/>
  <c r="IH57" i="5"/>
  <c r="II57" i="5"/>
  <c r="IJ57" i="5"/>
  <c r="IK57" i="5"/>
  <c r="IL57" i="5"/>
  <c r="IM57" i="5"/>
  <c r="IN57" i="5"/>
  <c r="IO57" i="5"/>
  <c r="IP57" i="5"/>
  <c r="IQ57" i="5"/>
  <c r="CC52" i="5" l="1"/>
  <c r="BP52" i="5"/>
</calcChain>
</file>

<file path=xl/sharedStrings.xml><?xml version="1.0" encoding="utf-8"?>
<sst xmlns="http://schemas.openxmlformats.org/spreadsheetml/2006/main" count="288" uniqueCount="108">
  <si>
    <t>Tid</t>
  </si>
  <si>
    <t>Samlet</t>
  </si>
  <si>
    <t>Midi Damer</t>
  </si>
  <si>
    <t>AAAAAB//z/w=</t>
  </si>
  <si>
    <t>Klub</t>
  </si>
  <si>
    <t>Points</t>
  </si>
  <si>
    <t>AAAAAB//z/s=</t>
  </si>
  <si>
    <t>Hindsgavl</t>
  </si>
  <si>
    <t>Maxi 1 Damer</t>
  </si>
  <si>
    <t>Maxi 1  Herrer</t>
  </si>
  <si>
    <t>Maxi 2 Damer</t>
  </si>
  <si>
    <t>Maxi 2  Herrer</t>
  </si>
  <si>
    <t>Maxi 3 Damer</t>
  </si>
  <si>
    <t>Maxi 3  Herrer</t>
  </si>
  <si>
    <t>Midi  Herrer</t>
  </si>
  <si>
    <t xml:space="preserve"> </t>
  </si>
  <si>
    <t>Mini Damer</t>
  </si>
  <si>
    <t>Mini  Herrer</t>
  </si>
  <si>
    <t>Søndermarksk.</t>
  </si>
  <si>
    <t>Vintercup 2016/17</t>
  </si>
  <si>
    <t>Busch Martin</t>
  </si>
  <si>
    <t>Gabs Jonas</t>
  </si>
  <si>
    <t>Kristensen John</t>
  </si>
  <si>
    <t>V.Ø. Jensen Gustav</t>
  </si>
  <si>
    <t>Bergman Rolf</t>
  </si>
  <si>
    <t>Laursen Christen</t>
  </si>
  <si>
    <t>OK Snab</t>
  </si>
  <si>
    <t>OK Melfar</t>
  </si>
  <si>
    <t>Kolding OK</t>
  </si>
  <si>
    <t>GORM</t>
  </si>
  <si>
    <t>V. Pedersen Hans</t>
  </si>
  <si>
    <t>Blok Karsten</t>
  </si>
  <si>
    <t>Blok Kristian</t>
  </si>
  <si>
    <t>Binder Ole</t>
  </si>
  <si>
    <t>Blok Thomas</t>
  </si>
  <si>
    <t>Uhleman Thomas</t>
  </si>
  <si>
    <t>Disk.</t>
  </si>
  <si>
    <t>Uffe Villumsen</t>
  </si>
  <si>
    <t>Peter D. Frandsen</t>
  </si>
  <si>
    <t>Martin Ringgive</t>
  </si>
  <si>
    <t>Gabs Thomas</t>
  </si>
  <si>
    <t>Pedersen Esben</t>
  </si>
  <si>
    <t>Sudergaard Uffe</t>
  </si>
  <si>
    <t>Højholt Lars</t>
  </si>
  <si>
    <t>Damgaard Jørgen</t>
  </si>
  <si>
    <t>Madsen Jesper</t>
  </si>
  <si>
    <t>Blicher Esben</t>
  </si>
  <si>
    <t>Eg Per</t>
  </si>
  <si>
    <t>Madsen Sven</t>
  </si>
  <si>
    <t>Pagh Lars</t>
  </si>
  <si>
    <t>Bang Jacob</t>
  </si>
  <si>
    <t>Erik Buch Poul</t>
  </si>
  <si>
    <t>Strøm Lars</t>
  </si>
  <si>
    <t>Munk Lars</t>
  </si>
  <si>
    <t>Hansen Torben</t>
  </si>
  <si>
    <t>Olesen Lars</t>
  </si>
  <si>
    <t>Ø. Jensen Kent</t>
  </si>
  <si>
    <t>Hansen Christian</t>
  </si>
  <si>
    <t>Ramus Jonathan</t>
  </si>
  <si>
    <t>OK FROS</t>
  </si>
  <si>
    <t>Skousen Mathilde</t>
  </si>
  <si>
    <t>Formankova Anna</t>
  </si>
  <si>
    <t>Damggaard Marianne</t>
  </si>
  <si>
    <t>Ringgive Bente</t>
  </si>
  <si>
    <t>Christensen Charlotte</t>
  </si>
  <si>
    <t>Lindahl Mette</t>
  </si>
  <si>
    <t>Buch Pernille</t>
  </si>
  <si>
    <t>Staugaard Hanne</t>
  </si>
  <si>
    <t>Koch Lene</t>
  </si>
  <si>
    <t>Hansen Ida</t>
  </si>
  <si>
    <t>Lassen Annett</t>
  </si>
  <si>
    <t>Grethe Eriksen Anne</t>
  </si>
  <si>
    <t>Johansen Dorthe</t>
  </si>
  <si>
    <t>Jensen Lotte</t>
  </si>
  <si>
    <t>Calsen Bjørn</t>
  </si>
  <si>
    <t>Lykkebak Lau</t>
  </si>
  <si>
    <t>Skrydstrup Jack</t>
  </si>
  <si>
    <t>Simonsen Per</t>
  </si>
  <si>
    <t>JM. Hansen Niels</t>
  </si>
  <si>
    <t>Jacobsen Bent</t>
  </si>
  <si>
    <t>Ølgaard Kristian</t>
  </si>
  <si>
    <t>Erik Uhleman Niels</t>
  </si>
  <si>
    <t>Vind Palle</t>
  </si>
  <si>
    <t>Ahlers Kim</t>
  </si>
  <si>
    <t>Keldsen Villy</t>
  </si>
  <si>
    <t>Carøe Kent</t>
  </si>
  <si>
    <t>Skousen Marianne</t>
  </si>
  <si>
    <t>Skousen Line</t>
  </si>
  <si>
    <t>Staugaard Sissel</t>
  </si>
  <si>
    <t>Melfar</t>
  </si>
  <si>
    <t>Blicher Karla</t>
  </si>
  <si>
    <t>Sudergaard Ditte</t>
  </si>
  <si>
    <t>Vinter Lotte</t>
  </si>
  <si>
    <t>Velasquez Augustina</t>
  </si>
  <si>
    <t>Hofmann Thea</t>
  </si>
  <si>
    <t>Hansen Emma</t>
  </si>
  <si>
    <t>Jensen Maya</t>
  </si>
  <si>
    <t>Hansen Sofie</t>
  </si>
  <si>
    <t>Gabs August</t>
  </si>
  <si>
    <t>Lindahl Magnus</t>
  </si>
  <si>
    <t>Rosenvænget Ebbe</t>
  </si>
  <si>
    <t>Carlsen Henrik</t>
  </si>
  <si>
    <t>Hofmann Stian</t>
  </si>
  <si>
    <t>Højer Jakob</t>
  </si>
  <si>
    <t>Hofmann Silas</t>
  </si>
  <si>
    <t>Sig Steen</t>
  </si>
  <si>
    <t>Lyhne Celina</t>
  </si>
  <si>
    <t>Sofie Motzkus 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</si>
</sst>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1"/>
      <color indexed="14"/>
      <name val="Arial"/>
      <family val="2"/>
    </font>
    <font>
      <sz val="28"/>
      <color indexed="14"/>
      <name val="Arial"/>
      <family val="2"/>
    </font>
    <font>
      <sz val="18"/>
      <color indexed="14"/>
      <name val="Arial"/>
      <family val="2"/>
    </font>
    <font>
      <sz val="10"/>
      <color indexed="14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6" fillId="0" borderId="0" xfId="0" applyFont="1">
      <alignment vertical="center"/>
    </xf>
    <xf numFmtId="0" fontId="6" fillId="0" borderId="2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/>
    <xf numFmtId="0" fontId="7" fillId="5" borderId="1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0" fillId="0" borderId="1" xfId="0" applyBorder="1" applyAlignment="1"/>
    <xf numFmtId="0" fontId="1" fillId="6" borderId="1" xfId="0" applyNumberFormat="1" applyFont="1" applyFill="1" applyBorder="1" applyAlignment="1"/>
    <xf numFmtId="2" fontId="0" fillId="0" borderId="1" xfId="0" applyNumberFormat="1" applyBorder="1" applyAlignment="1">
      <alignment horizontal="right"/>
    </xf>
    <xf numFmtId="0" fontId="1" fillId="6" borderId="1" xfId="0" applyNumberFormat="1" applyFont="1" applyFill="1" applyBorder="1" applyAlignment="1">
      <alignment horizontal="right"/>
    </xf>
    <xf numFmtId="16" fontId="1" fillId="0" borderId="1" xfId="0" applyNumberFormat="1" applyFont="1" applyFill="1" applyBorder="1" applyAlignment="1"/>
    <xf numFmtId="2" fontId="4" fillId="6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/>
    <xf numFmtId="1" fontId="4" fillId="0" borderId="1" xfId="0" applyNumberFormat="1" applyFont="1" applyFill="1" applyBorder="1" applyAlignment="1"/>
    <xf numFmtId="0" fontId="0" fillId="0" borderId="1" xfId="0" applyFont="1" applyBorder="1" applyAlignment="1">
      <alignment horizontal="right"/>
    </xf>
    <xf numFmtId="0" fontId="0" fillId="5" borderId="1" xfId="0" applyNumberFormat="1" applyFont="1" applyFill="1" applyBorder="1" applyAlignment="1"/>
    <xf numFmtId="1" fontId="4" fillId="6" borderId="1" xfId="0" applyNumberFormat="1" applyFont="1" applyFill="1" applyBorder="1" applyAlignment="1">
      <alignment horizontal="right"/>
    </xf>
    <xf numFmtId="1" fontId="0" fillId="5" borderId="1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0" fontId="0" fillId="0" borderId="1" xfId="0" applyNumberFormat="1" applyFont="1" applyFill="1" applyBorder="1" applyAlignment="1"/>
    <xf numFmtId="0" fontId="0" fillId="5" borderId="1" xfId="0" applyNumberFormat="1" applyFill="1" applyBorder="1" applyAlignment="1"/>
    <xf numFmtId="0" fontId="4" fillId="2" borderId="1" xfId="0" applyNumberFormat="1" applyFont="1" applyFill="1" applyBorder="1" applyAlignment="1"/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0" fillId="7" borderId="1" xfId="0" applyFill="1" applyBorder="1">
      <alignment vertical="center"/>
    </xf>
    <xf numFmtId="0" fontId="1" fillId="7" borderId="1" xfId="0" applyNumberFormat="1" applyFont="1" applyFill="1" applyBorder="1" applyAlignment="1"/>
    <xf numFmtId="0" fontId="7" fillId="8" borderId="1" xfId="0" applyNumberFormat="1" applyFont="1" applyFill="1" applyBorder="1" applyAlignment="1"/>
    <xf numFmtId="0" fontId="0" fillId="8" borderId="1" xfId="0" applyFill="1" applyBorder="1">
      <alignment vertical="center"/>
    </xf>
    <xf numFmtId="2" fontId="7" fillId="0" borderId="1" xfId="0" applyNumberFormat="1" applyFont="1" applyFill="1" applyBorder="1" applyAlignment="1"/>
    <xf numFmtId="0" fontId="10" fillId="0" borderId="3" xfId="0" applyFont="1" applyFill="1" applyBorder="1" applyAlignment="1"/>
    <xf numFmtId="0" fontId="4" fillId="0" borderId="3" xfId="0" applyNumberFormat="1" applyFont="1" applyFill="1" applyBorder="1" applyAlignment="1"/>
    <xf numFmtId="0" fontId="7" fillId="6" borderId="1" xfId="0" applyNumberFormat="1" applyFont="1" applyFill="1" applyBorder="1" applyAlignment="1"/>
    <xf numFmtId="0" fontId="0" fillId="6" borderId="1" xfId="0" applyFill="1" applyBorder="1" applyAlignment="1">
      <alignment horizontal="right"/>
    </xf>
    <xf numFmtId="1" fontId="4" fillId="6" borderId="1" xfId="0" applyNumberFormat="1" applyFont="1" applyFill="1" applyBorder="1" applyAlignment="1"/>
    <xf numFmtId="0" fontId="4" fillId="6" borderId="1" xfId="0" applyNumberFormat="1" applyFont="1" applyFill="1" applyBorder="1" applyAlignment="1"/>
    <xf numFmtId="0" fontId="4" fillId="6" borderId="1" xfId="0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6" borderId="1" xfId="0" applyFont="1" applyFill="1" applyBorder="1">
      <alignment vertical="center"/>
    </xf>
    <xf numFmtId="0" fontId="0" fillId="6" borderId="1" xfId="0" applyFill="1" applyBorder="1">
      <alignment vertical="center"/>
    </xf>
    <xf numFmtId="0" fontId="0" fillId="6" borderId="1" xfId="0" applyNumberFormat="1" applyFont="1" applyFill="1" applyBorder="1" applyAlignment="1">
      <alignment wrapText="1"/>
    </xf>
    <xf numFmtId="0" fontId="6" fillId="6" borderId="1" xfId="0" applyFont="1" applyFill="1" applyBorder="1">
      <alignment vertical="center"/>
    </xf>
    <xf numFmtId="2" fontId="7" fillId="6" borderId="1" xfId="0" applyNumberFormat="1" applyFont="1" applyFill="1" applyBorder="1" applyAlignment="1"/>
    <xf numFmtId="2" fontId="4" fillId="6" borderId="1" xfId="0" applyNumberFormat="1" applyFont="1" applyFill="1" applyBorder="1" applyAlignment="1"/>
    <xf numFmtId="0" fontId="0" fillId="6" borderId="1" xfId="0" applyNumberFormat="1" applyFont="1" applyFill="1" applyBorder="1" applyAlignment="1"/>
    <xf numFmtId="2" fontId="0" fillId="6" borderId="1" xfId="0" applyNumberFormat="1" applyFill="1" applyBorder="1" applyAlignment="1">
      <alignment horizontal="right"/>
    </xf>
    <xf numFmtId="2" fontId="1" fillId="6" borderId="1" xfId="0" applyNumberFormat="1" applyFont="1" applyFill="1" applyBorder="1" applyAlignment="1"/>
    <xf numFmtId="2" fontId="0" fillId="6" borderId="1" xfId="0" applyNumberFormat="1" applyFont="1" applyFill="1" applyBorder="1" applyAlignment="1"/>
    <xf numFmtId="1" fontId="4" fillId="6" borderId="1" xfId="0" quotePrefix="1" applyNumberFormat="1" applyFont="1" applyFill="1" applyBorder="1" applyAlignment="1"/>
    <xf numFmtId="1" fontId="0" fillId="6" borderId="1" xfId="0" applyNumberFormat="1" applyFill="1" applyBorder="1" applyAlignment="1">
      <alignment horizontal="right"/>
    </xf>
    <xf numFmtId="0" fontId="4" fillId="6" borderId="0" xfId="0" applyNumberFormat="1" applyFont="1" applyFill="1" applyAlignment="1"/>
    <xf numFmtId="0" fontId="4" fillId="6" borderId="1" xfId="0" quotePrefix="1" applyNumberFormat="1" applyFont="1" applyFill="1" applyBorder="1" applyAlignment="1">
      <alignment horizontal="right"/>
    </xf>
    <xf numFmtId="0" fontId="0" fillId="0" borderId="0" xfId="0" applyAlignment="1"/>
    <xf numFmtId="21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D050"/>
      <rgbColor rgb="00FFFAF9"/>
      <rgbColor rgb="00DCE6F2"/>
      <rgbColor rgb="00F2F2F2"/>
      <rgbColor rgb="00E6E0EC"/>
      <rgbColor rgb="00FFFF00"/>
      <rgbColor rgb="00000000"/>
      <rgbColor rgb="00FFFBF9"/>
      <rgbColor rgb="00FFFBFB"/>
      <rgbColor rgb="00FFF9F9"/>
      <rgbColor rgb="00D9D9D9"/>
      <rgbColor rgb="00FFFDFD"/>
      <rgbColor rgb="00FFF9F7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T171"/>
  <sheetViews>
    <sheetView tabSelected="1" zoomScale="90" zoomScaleNormal="90" workbookViewId="0"/>
  </sheetViews>
  <sheetFormatPr defaultColWidth="9.140625" defaultRowHeight="15" customHeight="1" x14ac:dyDescent="0.2"/>
  <cols>
    <col min="1" max="1" width="22.7109375" customWidth="1"/>
    <col min="2" max="2" width="11.140625" customWidth="1"/>
    <col min="3" max="3" width="9" customWidth="1"/>
    <col min="4" max="4" width="7.28515625" customWidth="1"/>
    <col min="5" max="5" width="1" customWidth="1"/>
    <col min="6" max="7" width="7.28515625" customWidth="1"/>
    <col min="8" max="8" width="1.140625" customWidth="1"/>
    <col min="9" max="10" width="7.28515625" customWidth="1"/>
    <col min="11" max="11" width="1.28515625" customWidth="1"/>
    <col min="12" max="13" width="7.28515625" customWidth="1"/>
    <col min="14" max="14" width="1" customWidth="1"/>
    <col min="15" max="16" width="7.28515625" customWidth="1"/>
    <col min="17" max="17" width="1.28515625" customWidth="1"/>
    <col min="18" max="18" width="7.28515625" style="16" customWidth="1"/>
    <col min="19" max="19" width="7.28515625" customWidth="1"/>
    <col min="20" max="20" width="7.5703125" bestFit="1" customWidth="1"/>
  </cols>
  <sheetData>
    <row r="1" spans="1:20" ht="34.5" x14ac:dyDescent="0.45">
      <c r="B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spans="1:20" ht="15" customHeight="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3"/>
      <c r="T2" s="3"/>
    </row>
    <row r="3" spans="1:20" ht="15" customHeight="1" x14ac:dyDescent="0.25">
      <c r="A3" s="10"/>
      <c r="B3" s="3"/>
      <c r="C3" s="20" t="s">
        <v>7</v>
      </c>
      <c r="D3" s="20"/>
      <c r="E3" s="20"/>
      <c r="F3" s="20" t="s">
        <v>18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8"/>
      <c r="T3" s="18"/>
    </row>
    <row r="4" spans="1:20" ht="15" customHeight="1" x14ac:dyDescent="0.2">
      <c r="A4" s="10"/>
      <c r="B4" s="3"/>
      <c r="C4" s="26">
        <v>42686</v>
      </c>
      <c r="D4" s="3"/>
      <c r="E4" s="3"/>
      <c r="F4" s="26">
        <v>42700</v>
      </c>
      <c r="G4" s="3"/>
      <c r="H4" s="3"/>
      <c r="I4" s="26"/>
      <c r="J4" s="3"/>
      <c r="K4" s="3"/>
      <c r="L4" s="26"/>
      <c r="M4" s="3"/>
      <c r="N4" s="3"/>
      <c r="O4" s="26"/>
      <c r="P4" s="3"/>
      <c r="Q4" s="3"/>
      <c r="R4" s="18"/>
      <c r="S4" s="18"/>
      <c r="T4" s="18"/>
    </row>
    <row r="5" spans="1:20" ht="15" customHeight="1" x14ac:dyDescent="0.2">
      <c r="A5" s="10"/>
      <c r="B5" s="3" t="s">
        <v>4</v>
      </c>
      <c r="C5" s="3" t="s">
        <v>0</v>
      </c>
      <c r="D5" s="3" t="s">
        <v>5</v>
      </c>
      <c r="E5" s="3"/>
      <c r="F5" s="3" t="s">
        <v>0</v>
      </c>
      <c r="G5" s="3" t="s">
        <v>5</v>
      </c>
      <c r="H5" s="3"/>
      <c r="I5" s="3" t="s">
        <v>0</v>
      </c>
      <c r="J5" s="3" t="s">
        <v>5</v>
      </c>
      <c r="K5" s="3"/>
      <c r="L5" s="3" t="s">
        <v>0</v>
      </c>
      <c r="M5" s="3" t="s">
        <v>5</v>
      </c>
      <c r="N5" s="3"/>
      <c r="O5" s="3" t="s">
        <v>0</v>
      </c>
      <c r="P5" s="3" t="s">
        <v>5</v>
      </c>
      <c r="Q5" s="3"/>
      <c r="R5" s="18" t="s">
        <v>0</v>
      </c>
      <c r="S5" s="18" t="s">
        <v>5</v>
      </c>
      <c r="T5" s="18" t="s">
        <v>1</v>
      </c>
    </row>
    <row r="6" spans="1:20" ht="15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</row>
    <row r="7" spans="1:20" ht="23.25" x14ac:dyDescent="0.35">
      <c r="A7" s="4" t="s">
        <v>8</v>
      </c>
      <c r="B7" s="4"/>
      <c r="C7" s="3"/>
      <c r="D7" s="3"/>
      <c r="E7" s="5"/>
      <c r="F7" s="3"/>
      <c r="G7" s="3"/>
      <c r="H7" s="5"/>
      <c r="I7" s="3"/>
      <c r="J7" s="3"/>
      <c r="K7" s="5"/>
      <c r="L7" s="3"/>
      <c r="M7" s="3"/>
      <c r="N7" s="3"/>
      <c r="O7" s="3"/>
      <c r="P7" s="3"/>
      <c r="Q7" s="3"/>
      <c r="R7" s="18"/>
      <c r="S7" s="18"/>
      <c r="T7" s="18"/>
    </row>
    <row r="8" spans="1:20" ht="15" customHeight="1" x14ac:dyDescent="0.2">
      <c r="A8" s="6" t="s">
        <v>15</v>
      </c>
      <c r="B8" s="54" t="s">
        <v>15</v>
      </c>
      <c r="C8" s="54"/>
      <c r="D8" s="23"/>
      <c r="E8" s="23"/>
      <c r="F8" s="62"/>
      <c r="G8" s="54"/>
      <c r="H8" s="23"/>
      <c r="I8" s="23"/>
      <c r="J8" s="23"/>
      <c r="K8" s="23"/>
      <c r="L8" s="23"/>
      <c r="M8" s="23"/>
      <c r="N8" s="23"/>
      <c r="O8" s="23"/>
      <c r="P8" s="23"/>
      <c r="Q8" s="23"/>
      <c r="R8" s="51"/>
      <c r="S8" s="51"/>
      <c r="T8" s="19">
        <f>((((D8+G8)+J8)+M8)+P8)+S8</f>
        <v>0</v>
      </c>
    </row>
    <row r="9" spans="1:20" ht="15" customHeight="1" x14ac:dyDescent="0.2">
      <c r="A9" s="7" t="s">
        <v>15</v>
      </c>
      <c r="B9" s="54" t="s">
        <v>15</v>
      </c>
      <c r="C9" s="54"/>
      <c r="D9" s="23"/>
      <c r="E9" s="23"/>
      <c r="F9" s="25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63"/>
      <c r="S9" s="63"/>
      <c r="T9" s="19"/>
    </row>
    <row r="10" spans="1:20" ht="15" customHeight="1" x14ac:dyDescent="0.2">
      <c r="A10" s="7"/>
      <c r="B10" s="54"/>
      <c r="C10" s="54"/>
      <c r="D10" s="23"/>
      <c r="E10" s="23"/>
      <c r="F10" s="25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63"/>
      <c r="S10" s="63"/>
      <c r="T10" s="19"/>
    </row>
    <row r="11" spans="1:20" ht="15" customHeight="1" x14ac:dyDescent="0.2">
      <c r="A11" s="3"/>
      <c r="B11" s="23"/>
      <c r="C11" s="23"/>
      <c r="D11" s="23"/>
      <c r="E11" s="23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63"/>
      <c r="S11" s="63"/>
      <c r="T11" s="19"/>
    </row>
    <row r="12" spans="1:20" ht="15" customHeight="1" x14ac:dyDescent="0.2">
      <c r="A12" s="3"/>
      <c r="B12" s="23"/>
      <c r="C12" s="23"/>
      <c r="D12" s="23"/>
      <c r="E12" s="23"/>
      <c r="F12" s="2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63"/>
      <c r="S12" s="63"/>
      <c r="T12" s="19"/>
    </row>
    <row r="13" spans="1:20" ht="15" customHeight="1" x14ac:dyDescent="0.2">
      <c r="A13" s="7"/>
      <c r="B13" s="7"/>
      <c r="C13" s="7"/>
      <c r="D13" s="3"/>
      <c r="E13" s="5"/>
      <c r="F13" s="9"/>
      <c r="G13" s="3"/>
      <c r="H13" s="5"/>
      <c r="I13" s="3"/>
      <c r="J13" s="3"/>
      <c r="K13" s="5"/>
      <c r="L13" s="3"/>
      <c r="M13" s="3"/>
      <c r="N13" s="8"/>
      <c r="O13" s="3"/>
      <c r="P13" s="3"/>
      <c r="Q13" s="5"/>
      <c r="R13" s="39"/>
      <c r="S13" s="39"/>
      <c r="T13" s="19"/>
    </row>
    <row r="14" spans="1:20" ht="15" customHeight="1" x14ac:dyDescent="0.2">
      <c r="A14" s="3"/>
      <c r="B14" s="3"/>
      <c r="C14" s="3"/>
      <c r="D14" s="3"/>
      <c r="E14" s="5"/>
      <c r="F14" s="9"/>
      <c r="G14" s="3"/>
      <c r="H14" s="5"/>
      <c r="I14" s="3"/>
      <c r="J14" s="3"/>
      <c r="K14" s="5"/>
      <c r="L14" s="3"/>
      <c r="M14" s="3"/>
      <c r="N14" s="8"/>
      <c r="O14" s="3"/>
      <c r="P14" s="3"/>
      <c r="Q14" s="5"/>
      <c r="R14" s="39"/>
      <c r="S14" s="39"/>
      <c r="T14" s="19"/>
    </row>
    <row r="15" spans="1:20" ht="23.25" x14ac:dyDescent="0.35">
      <c r="A15" s="4" t="s">
        <v>9</v>
      </c>
      <c r="B15" s="3"/>
      <c r="C15" s="3"/>
      <c r="D15" s="3"/>
      <c r="E15" s="5"/>
      <c r="F15" s="9"/>
      <c r="G15" s="3"/>
      <c r="H15" s="5"/>
      <c r="I15" s="3"/>
      <c r="J15" s="3"/>
      <c r="K15" s="5"/>
      <c r="L15" s="3"/>
      <c r="M15" s="3"/>
      <c r="N15" s="8"/>
      <c r="O15" s="3"/>
      <c r="P15" s="3"/>
      <c r="Q15" s="5"/>
      <c r="R15" s="39"/>
      <c r="S15" s="39"/>
      <c r="T15" s="18"/>
    </row>
    <row r="16" spans="1:20" ht="15" customHeight="1" x14ac:dyDescent="0.2">
      <c r="A16" s="71" t="s">
        <v>20</v>
      </c>
      <c r="B16" s="71" t="s">
        <v>26</v>
      </c>
      <c r="C16" s="72">
        <v>3.5370370370370365E-2</v>
      </c>
      <c r="D16" s="3">
        <v>100</v>
      </c>
      <c r="E16" s="5"/>
      <c r="F16" s="9"/>
      <c r="G16" s="3"/>
      <c r="H16" s="5"/>
      <c r="I16" s="7"/>
      <c r="J16" s="7"/>
      <c r="K16" s="5"/>
      <c r="L16" s="7"/>
      <c r="M16" s="7"/>
      <c r="N16" s="8"/>
      <c r="O16" s="3"/>
      <c r="P16" s="3"/>
      <c r="Q16" s="5"/>
      <c r="R16" s="39"/>
      <c r="S16" s="39"/>
      <c r="T16" s="19">
        <v>100</v>
      </c>
    </row>
    <row r="17" spans="1:20" ht="15" customHeight="1" x14ac:dyDescent="0.2">
      <c r="A17" s="71" t="s">
        <v>21</v>
      </c>
      <c r="B17" s="71" t="s">
        <v>27</v>
      </c>
      <c r="C17" s="72">
        <v>3.8541666666666669E-2</v>
      </c>
      <c r="D17" s="23">
        <v>95</v>
      </c>
      <c r="E17" s="23"/>
      <c r="F17" s="25"/>
      <c r="G17" s="54"/>
      <c r="H17" s="23"/>
      <c r="I17" s="54"/>
      <c r="J17" s="54"/>
      <c r="K17" s="23"/>
      <c r="L17" s="54"/>
      <c r="M17" s="54"/>
      <c r="N17" s="23"/>
      <c r="O17" s="23"/>
      <c r="P17" s="23"/>
      <c r="Q17" s="23"/>
      <c r="R17" s="63"/>
      <c r="S17" s="63"/>
      <c r="T17" s="19">
        <f t="shared" ref="T17:T39" si="0">((((D17+G17)+J17)+M17)+P17)+S17</f>
        <v>95</v>
      </c>
    </row>
    <row r="18" spans="1:20" ht="15" customHeight="1" x14ac:dyDescent="0.2">
      <c r="A18" s="71" t="s">
        <v>22</v>
      </c>
      <c r="B18" s="71" t="s">
        <v>26</v>
      </c>
      <c r="C18" s="72">
        <v>4.5185185185185189E-2</v>
      </c>
      <c r="D18" s="52">
        <v>85</v>
      </c>
      <c r="E18" s="23"/>
      <c r="F18" s="52"/>
      <c r="G18" s="54"/>
      <c r="H18" s="23"/>
      <c r="I18" s="54"/>
      <c r="J18" s="54"/>
      <c r="K18" s="23"/>
      <c r="L18" s="54"/>
      <c r="M18" s="54"/>
      <c r="N18" s="23"/>
      <c r="O18" s="23"/>
      <c r="P18" s="23"/>
      <c r="Q18" s="23"/>
      <c r="R18" s="63"/>
      <c r="S18" s="63"/>
      <c r="T18" s="19">
        <f t="shared" si="0"/>
        <v>85</v>
      </c>
    </row>
    <row r="19" spans="1:20" ht="15" customHeight="1" x14ac:dyDescent="0.2">
      <c r="A19" s="71" t="s">
        <v>23</v>
      </c>
      <c r="B19" s="71" t="s">
        <v>28</v>
      </c>
      <c r="C19" s="72">
        <v>4.5486111111111109E-2</v>
      </c>
      <c r="D19" s="52">
        <v>85</v>
      </c>
      <c r="E19" s="23"/>
      <c r="F19" s="52"/>
      <c r="G19" s="54"/>
      <c r="H19" s="23"/>
      <c r="I19" s="54"/>
      <c r="J19" s="54"/>
      <c r="K19" s="23"/>
      <c r="L19" s="54"/>
      <c r="M19" s="54"/>
      <c r="N19" s="23"/>
      <c r="O19" s="23"/>
      <c r="P19" s="23"/>
      <c r="Q19" s="23"/>
      <c r="R19" s="63"/>
      <c r="S19" s="63"/>
      <c r="T19" s="19">
        <f t="shared" si="0"/>
        <v>85</v>
      </c>
    </row>
    <row r="20" spans="1:20" ht="15" customHeight="1" x14ac:dyDescent="0.2">
      <c r="A20" s="71" t="s">
        <v>24</v>
      </c>
      <c r="B20" s="71" t="s">
        <v>26</v>
      </c>
      <c r="C20" s="72">
        <v>4.5995370370370374E-2</v>
      </c>
      <c r="D20" s="54">
        <v>85</v>
      </c>
      <c r="E20" s="23"/>
      <c r="F20" s="25"/>
      <c r="G20" s="23"/>
      <c r="H20" s="23"/>
      <c r="I20" s="54"/>
      <c r="J20" s="54"/>
      <c r="K20" s="23"/>
      <c r="L20" s="54"/>
      <c r="M20" s="54"/>
      <c r="N20" s="23"/>
      <c r="O20" s="23"/>
      <c r="P20" s="23"/>
      <c r="Q20" s="23"/>
      <c r="R20" s="63"/>
      <c r="S20" s="63"/>
      <c r="T20" s="19">
        <f t="shared" si="0"/>
        <v>85</v>
      </c>
    </row>
    <row r="21" spans="1:20" ht="15" customHeight="1" x14ac:dyDescent="0.2">
      <c r="A21" s="71" t="s">
        <v>25</v>
      </c>
      <c r="B21" s="71" t="s">
        <v>28</v>
      </c>
      <c r="C21" s="72">
        <v>4.7557870370370368E-2</v>
      </c>
      <c r="D21" s="23">
        <v>83</v>
      </c>
      <c r="E21" s="23"/>
      <c r="F21" s="52"/>
      <c r="G21" s="54"/>
      <c r="H21" s="23"/>
      <c r="I21" s="54"/>
      <c r="J21" s="54"/>
      <c r="K21" s="23"/>
      <c r="L21" s="54"/>
      <c r="M21" s="54"/>
      <c r="N21" s="23"/>
      <c r="O21" s="23"/>
      <c r="P21" s="23"/>
      <c r="Q21" s="23"/>
      <c r="R21" s="54"/>
      <c r="S21" s="54"/>
      <c r="T21" s="19">
        <f t="shared" si="0"/>
        <v>83</v>
      </c>
    </row>
    <row r="22" spans="1:20" ht="15" customHeight="1" x14ac:dyDescent="0.2">
      <c r="A22" s="71" t="s">
        <v>37</v>
      </c>
      <c r="B22" s="71" t="s">
        <v>26</v>
      </c>
      <c r="C22" s="72">
        <v>5.1388888888888894E-2</v>
      </c>
      <c r="D22" s="52">
        <v>77</v>
      </c>
      <c r="E22" s="23"/>
      <c r="F22" s="25"/>
      <c r="G22" s="23"/>
      <c r="H22" s="23"/>
      <c r="I22" s="54"/>
      <c r="J22" s="54"/>
      <c r="K22" s="23"/>
      <c r="L22" s="54"/>
      <c r="M22" s="54"/>
      <c r="N22" s="23"/>
      <c r="O22" s="23"/>
      <c r="P22" s="23"/>
      <c r="Q22" s="23"/>
      <c r="R22" s="63"/>
      <c r="S22" s="63"/>
      <c r="T22" s="19">
        <f t="shared" si="0"/>
        <v>77</v>
      </c>
    </row>
    <row r="23" spans="1:20" ht="15" customHeight="1" x14ac:dyDescent="0.2">
      <c r="A23" s="71" t="s">
        <v>38</v>
      </c>
      <c r="B23" s="71" t="s">
        <v>28</v>
      </c>
      <c r="C23" s="72">
        <v>5.5717592592592596E-2</v>
      </c>
      <c r="D23" s="23">
        <v>71</v>
      </c>
      <c r="E23" s="23"/>
      <c r="F23" s="52"/>
      <c r="G23" s="54"/>
      <c r="H23" s="23"/>
      <c r="I23" s="54"/>
      <c r="J23" s="54"/>
      <c r="K23" s="23"/>
      <c r="L23" s="54"/>
      <c r="M23" s="54"/>
      <c r="N23" s="23"/>
      <c r="O23" s="23"/>
      <c r="P23" s="23"/>
      <c r="Q23" s="23"/>
      <c r="R23" s="63"/>
      <c r="S23" s="63"/>
      <c r="T23" s="19">
        <f t="shared" si="0"/>
        <v>71</v>
      </c>
    </row>
    <row r="24" spans="1:20" ht="15" customHeight="1" x14ac:dyDescent="0.2">
      <c r="A24" s="71" t="s">
        <v>39</v>
      </c>
      <c r="B24" s="71" t="s">
        <v>29</v>
      </c>
      <c r="C24" s="72">
        <v>6.1805555555555558E-2</v>
      </c>
      <c r="D24" s="23">
        <v>62</v>
      </c>
      <c r="E24" s="23"/>
      <c r="F24" s="52"/>
      <c r="G24" s="54"/>
      <c r="H24" s="23"/>
      <c r="I24" s="54"/>
      <c r="J24" s="54"/>
      <c r="K24" s="23"/>
      <c r="L24" s="62"/>
      <c r="M24" s="54"/>
      <c r="N24" s="23"/>
      <c r="O24" s="23"/>
      <c r="P24" s="23"/>
      <c r="Q24" s="23"/>
      <c r="R24" s="63"/>
      <c r="S24" s="63"/>
      <c r="T24" s="19">
        <f t="shared" si="0"/>
        <v>62</v>
      </c>
    </row>
    <row r="25" spans="1:20" ht="15" customHeight="1" x14ac:dyDescent="0.2">
      <c r="A25" s="71" t="s">
        <v>30</v>
      </c>
      <c r="B25" s="71" t="s">
        <v>29</v>
      </c>
      <c r="C25" s="71" t="s">
        <v>36</v>
      </c>
      <c r="D25" s="52"/>
      <c r="E25" s="23"/>
      <c r="F25" s="64"/>
      <c r="G25" s="53"/>
      <c r="H25" s="23"/>
      <c r="I25" s="54"/>
      <c r="J25" s="54"/>
      <c r="K25" s="23"/>
      <c r="L25" s="54"/>
      <c r="M25" s="54"/>
      <c r="N25" s="23"/>
      <c r="O25" s="23"/>
      <c r="P25" s="23"/>
      <c r="Q25" s="23"/>
      <c r="R25" s="63"/>
      <c r="S25" s="63"/>
      <c r="T25" s="19">
        <f t="shared" si="0"/>
        <v>0</v>
      </c>
    </row>
    <row r="26" spans="1:20" ht="15" customHeight="1" x14ac:dyDescent="0.2">
      <c r="A26" s="71" t="s">
        <v>31</v>
      </c>
      <c r="B26" s="71" t="s">
        <v>26</v>
      </c>
      <c r="C26" s="71" t="s">
        <v>36</v>
      </c>
      <c r="D26" s="23"/>
      <c r="E26" s="23"/>
      <c r="F26" s="52"/>
      <c r="G26" s="54"/>
      <c r="H26" s="23"/>
      <c r="I26" s="54"/>
      <c r="J26" s="54"/>
      <c r="K26" s="23"/>
      <c r="L26" s="54"/>
      <c r="M26" s="54"/>
      <c r="N26" s="23"/>
      <c r="O26" s="23"/>
      <c r="P26" s="23"/>
      <c r="Q26" s="23"/>
      <c r="R26" s="63"/>
      <c r="S26" s="63"/>
      <c r="T26" s="19">
        <f t="shared" si="0"/>
        <v>0</v>
      </c>
    </row>
    <row r="27" spans="1:20" ht="15" customHeight="1" x14ac:dyDescent="0.2">
      <c r="A27" s="71" t="s">
        <v>32</v>
      </c>
      <c r="B27" s="71" t="s">
        <v>26</v>
      </c>
      <c r="C27" s="71" t="s">
        <v>36</v>
      </c>
      <c r="D27" s="23"/>
      <c r="E27" s="23"/>
      <c r="F27" s="52"/>
      <c r="G27" s="54"/>
      <c r="H27" s="23"/>
      <c r="I27" s="54"/>
      <c r="J27" s="54"/>
      <c r="K27" s="23"/>
      <c r="L27" s="54"/>
      <c r="M27" s="54"/>
      <c r="N27" s="23"/>
      <c r="O27" s="23"/>
      <c r="P27" s="23"/>
      <c r="Q27" s="23"/>
      <c r="R27" s="63"/>
      <c r="S27" s="63"/>
      <c r="T27" s="19">
        <f t="shared" si="0"/>
        <v>0</v>
      </c>
    </row>
    <row r="28" spans="1:20" ht="15" customHeight="1" x14ac:dyDescent="0.2">
      <c r="A28" s="71" t="s">
        <v>33</v>
      </c>
      <c r="B28" s="71" t="s">
        <v>29</v>
      </c>
      <c r="C28" s="71" t="s">
        <v>36</v>
      </c>
      <c r="D28" s="23"/>
      <c r="E28" s="23"/>
      <c r="F28" s="25"/>
      <c r="G28" s="23"/>
      <c r="H28" s="23"/>
      <c r="I28" s="54"/>
      <c r="J28" s="54"/>
      <c r="K28" s="23"/>
      <c r="L28" s="54"/>
      <c r="M28" s="54"/>
      <c r="N28" s="23"/>
      <c r="O28" s="65"/>
      <c r="P28" s="23"/>
      <c r="Q28" s="23"/>
      <c r="R28" s="63"/>
      <c r="S28" s="63"/>
      <c r="T28" s="19">
        <f t="shared" si="0"/>
        <v>0</v>
      </c>
    </row>
    <row r="29" spans="1:20" ht="15" customHeight="1" x14ac:dyDescent="0.2">
      <c r="A29" s="71" t="s">
        <v>34</v>
      </c>
      <c r="B29" s="71" t="s">
        <v>26</v>
      </c>
      <c r="C29" s="71" t="s">
        <v>36</v>
      </c>
      <c r="D29" s="52"/>
      <c r="E29" s="23"/>
      <c r="F29" s="25"/>
      <c r="G29" s="23"/>
      <c r="H29" s="23"/>
      <c r="I29" s="54"/>
      <c r="J29" s="54"/>
      <c r="K29" s="23"/>
      <c r="L29" s="54"/>
      <c r="M29" s="54"/>
      <c r="N29" s="23"/>
      <c r="O29" s="23"/>
      <c r="P29" s="23"/>
      <c r="Q29" s="23"/>
      <c r="R29" s="63"/>
      <c r="S29" s="63"/>
      <c r="T29" s="19">
        <f t="shared" si="0"/>
        <v>0</v>
      </c>
    </row>
    <row r="30" spans="1:20" ht="15" customHeight="1" x14ac:dyDescent="0.2">
      <c r="A30" s="71" t="s">
        <v>35</v>
      </c>
      <c r="B30" s="71" t="s">
        <v>28</v>
      </c>
      <c r="C30" s="71" t="s">
        <v>36</v>
      </c>
      <c r="D30" s="52"/>
      <c r="E30" s="23"/>
      <c r="F30" s="25"/>
      <c r="G30" s="23"/>
      <c r="H30" s="23"/>
      <c r="I30" s="54"/>
      <c r="J30" s="54"/>
      <c r="K30" s="23"/>
      <c r="L30" s="54"/>
      <c r="M30" s="54"/>
      <c r="N30" s="23"/>
      <c r="O30" s="23"/>
      <c r="P30" s="23"/>
      <c r="Q30" s="23"/>
      <c r="R30" s="66"/>
      <c r="S30" s="63"/>
      <c r="T30" s="19">
        <v>0</v>
      </c>
    </row>
    <row r="31" spans="1:20" ht="15" customHeight="1" x14ac:dyDescent="0.2">
      <c r="A31" s="3"/>
      <c r="B31" s="23"/>
      <c r="C31" s="23"/>
      <c r="D31" s="23"/>
      <c r="E31" s="23"/>
      <c r="F31" s="25"/>
      <c r="G31" s="23"/>
      <c r="H31" s="23"/>
      <c r="I31" s="54"/>
      <c r="J31" s="54"/>
      <c r="K31" s="23"/>
      <c r="L31" s="54"/>
      <c r="M31" s="54"/>
      <c r="N31" s="23"/>
      <c r="O31" s="23"/>
      <c r="P31" s="23"/>
      <c r="Q31" s="23"/>
      <c r="R31" s="63"/>
      <c r="S31" s="63"/>
      <c r="T31" s="19">
        <v>0</v>
      </c>
    </row>
    <row r="32" spans="1:20" ht="15" customHeight="1" x14ac:dyDescent="0.2">
      <c r="A32" s="3"/>
      <c r="B32" s="23"/>
      <c r="C32" s="23"/>
      <c r="D32" s="23"/>
      <c r="E32" s="23"/>
      <c r="F32" s="25"/>
      <c r="G32" s="23"/>
      <c r="H32" s="23"/>
      <c r="I32" s="54"/>
      <c r="J32" s="54"/>
      <c r="K32" s="23"/>
      <c r="L32" s="54"/>
      <c r="M32" s="54"/>
      <c r="N32" s="23"/>
      <c r="O32" s="23"/>
      <c r="P32" s="23"/>
      <c r="Q32" s="23"/>
      <c r="R32" s="63"/>
      <c r="S32" s="51"/>
      <c r="T32" s="19">
        <v>0</v>
      </c>
    </row>
    <row r="33" spans="1:20" ht="15" customHeight="1" x14ac:dyDescent="0.2">
      <c r="A33" s="22"/>
      <c r="B33" s="56"/>
      <c r="C33" s="23"/>
      <c r="D33" s="23"/>
      <c r="E33" s="23"/>
      <c r="F33" s="52"/>
      <c r="G33" s="54"/>
      <c r="H33" s="23"/>
      <c r="I33" s="54"/>
      <c r="J33" s="54"/>
      <c r="K33" s="23"/>
      <c r="L33" s="54"/>
      <c r="M33" s="54"/>
      <c r="N33" s="23"/>
      <c r="O33" s="23"/>
      <c r="P33" s="23"/>
      <c r="Q33" s="23"/>
      <c r="R33" s="66"/>
      <c r="S33" s="63"/>
      <c r="T33" s="19">
        <f t="shared" si="0"/>
        <v>0</v>
      </c>
    </row>
    <row r="34" spans="1:20" ht="15" customHeight="1" x14ac:dyDescent="0.2">
      <c r="A34" s="22"/>
      <c r="B34" s="56"/>
      <c r="C34" s="23"/>
      <c r="D34" s="23"/>
      <c r="E34" s="23"/>
      <c r="F34" s="52"/>
      <c r="G34" s="54"/>
      <c r="H34" s="23"/>
      <c r="I34" s="54"/>
      <c r="J34" s="54"/>
      <c r="K34" s="23"/>
      <c r="L34" s="54"/>
      <c r="M34" s="54"/>
      <c r="N34" s="23"/>
      <c r="O34" s="23"/>
      <c r="P34" s="23"/>
      <c r="Q34" s="23"/>
      <c r="R34" s="63"/>
      <c r="S34" s="63"/>
      <c r="T34" s="19">
        <f t="shared" si="0"/>
        <v>0</v>
      </c>
    </row>
    <row r="35" spans="1:20" ht="15" customHeight="1" x14ac:dyDescent="0.2">
      <c r="A35" s="22"/>
      <c r="B35" s="56"/>
      <c r="C35" s="52"/>
      <c r="D35" s="52"/>
      <c r="E35" s="23"/>
      <c r="F35" s="52"/>
      <c r="G35" s="54"/>
      <c r="H35" s="23"/>
      <c r="I35" s="54"/>
      <c r="J35" s="54"/>
      <c r="K35" s="23"/>
      <c r="L35" s="54"/>
      <c r="M35" s="54"/>
      <c r="N35" s="23"/>
      <c r="O35" s="23"/>
      <c r="P35" s="23"/>
      <c r="Q35" s="23"/>
      <c r="R35" s="63"/>
      <c r="S35" s="63"/>
      <c r="T35" s="19">
        <f t="shared" si="0"/>
        <v>0</v>
      </c>
    </row>
    <row r="36" spans="1:20" ht="15" customHeight="1" x14ac:dyDescent="0.2">
      <c r="A36" s="22"/>
      <c r="B36" s="56"/>
      <c r="C36" s="52"/>
      <c r="D36" s="52"/>
      <c r="E36" s="23"/>
      <c r="F36" s="52"/>
      <c r="G36" s="54"/>
      <c r="H36" s="23"/>
      <c r="I36" s="54"/>
      <c r="J36" s="54"/>
      <c r="K36" s="23"/>
      <c r="L36" s="54"/>
      <c r="M36" s="54"/>
      <c r="N36" s="23"/>
      <c r="O36" s="23"/>
      <c r="P36" s="23"/>
      <c r="Q36" s="23"/>
      <c r="R36" s="63"/>
      <c r="S36" s="63"/>
      <c r="T36" s="19"/>
    </row>
    <row r="37" spans="1:20" ht="15" customHeight="1" x14ac:dyDescent="0.2">
      <c r="A37" s="22"/>
      <c r="B37" s="56"/>
      <c r="C37" s="52"/>
      <c r="D37" s="52"/>
      <c r="E37" s="23"/>
      <c r="F37" s="52"/>
      <c r="G37" s="54"/>
      <c r="H37" s="23"/>
      <c r="I37" s="54"/>
      <c r="J37" s="54"/>
      <c r="K37" s="23"/>
      <c r="L37" s="54"/>
      <c r="M37" s="54"/>
      <c r="N37" s="23"/>
      <c r="O37" s="23"/>
      <c r="P37" s="23"/>
      <c r="Q37" s="23"/>
      <c r="R37" s="63"/>
      <c r="S37" s="63"/>
      <c r="T37" s="19"/>
    </row>
    <row r="38" spans="1:20" ht="15" customHeight="1" x14ac:dyDescent="0.2">
      <c r="A38" s="3"/>
      <c r="B38" s="23"/>
      <c r="C38" s="23"/>
      <c r="D38" s="23"/>
      <c r="E38" s="23"/>
      <c r="F38" s="25"/>
      <c r="G38" s="23"/>
      <c r="H38" s="23"/>
      <c r="I38" s="54"/>
      <c r="J38" s="54"/>
      <c r="K38" s="23"/>
      <c r="L38" s="54"/>
      <c r="M38" s="54"/>
      <c r="N38" s="23"/>
      <c r="O38" s="23"/>
      <c r="P38" s="23"/>
      <c r="Q38" s="23"/>
      <c r="R38" s="63"/>
      <c r="S38" s="63"/>
      <c r="T38" s="19">
        <f t="shared" si="0"/>
        <v>0</v>
      </c>
    </row>
    <row r="39" spans="1:20" ht="15" customHeight="1" x14ac:dyDescent="0.2">
      <c r="A39" s="3"/>
      <c r="B39" s="23"/>
      <c r="C39" s="23"/>
      <c r="D39" s="23"/>
      <c r="E39" s="23"/>
      <c r="F39" s="25"/>
      <c r="G39" s="23"/>
      <c r="H39" s="23"/>
      <c r="I39" s="54"/>
      <c r="J39" s="54"/>
      <c r="K39" s="23"/>
      <c r="L39" s="54"/>
      <c r="M39" s="54"/>
      <c r="N39" s="23"/>
      <c r="O39" s="23"/>
      <c r="P39" s="23"/>
      <c r="Q39" s="23"/>
      <c r="R39" s="63"/>
      <c r="S39" s="63"/>
      <c r="T39" s="19">
        <f t="shared" si="0"/>
        <v>0</v>
      </c>
    </row>
    <row r="40" spans="1:20" ht="15" customHeight="1" x14ac:dyDescent="0.2">
      <c r="F40" s="11"/>
      <c r="T40" s="1"/>
    </row>
    <row r="41" spans="1:20" ht="15" customHeight="1" x14ac:dyDescent="0.2">
      <c r="T41" s="1"/>
    </row>
    <row r="42" spans="1:20" ht="15" customHeight="1" x14ac:dyDescent="0.2">
      <c r="T42" s="1"/>
    </row>
    <row r="43" spans="1:20" ht="15" customHeight="1" x14ac:dyDescent="0.2">
      <c r="T43" s="1"/>
    </row>
    <row r="44" spans="1:20" ht="15" customHeight="1" x14ac:dyDescent="0.2">
      <c r="T44" s="1"/>
    </row>
    <row r="45" spans="1:20" ht="15" customHeight="1" x14ac:dyDescent="0.2">
      <c r="T45" s="1"/>
    </row>
    <row r="46" spans="1:20" ht="15" customHeight="1" x14ac:dyDescent="0.2">
      <c r="T46" s="1"/>
    </row>
    <row r="47" spans="1:20" ht="15" customHeight="1" x14ac:dyDescent="0.2">
      <c r="T47" s="1"/>
    </row>
    <row r="48" spans="1:20" ht="15" customHeight="1" x14ac:dyDescent="0.2">
      <c r="T48" s="1"/>
    </row>
    <row r="49" spans="20:20" ht="15" customHeight="1" x14ac:dyDescent="0.2">
      <c r="T49" s="1"/>
    </row>
    <row r="50" spans="20:20" ht="15" customHeight="1" x14ac:dyDescent="0.2">
      <c r="T50" s="1"/>
    </row>
    <row r="51" spans="20:20" ht="15" customHeight="1" x14ac:dyDescent="0.2">
      <c r="T51" s="1"/>
    </row>
    <row r="52" spans="20:20" ht="15" customHeight="1" x14ac:dyDescent="0.2">
      <c r="T52" s="1"/>
    </row>
    <row r="53" spans="20:20" ht="15" customHeight="1" x14ac:dyDescent="0.2">
      <c r="T53" s="1"/>
    </row>
    <row r="54" spans="20:20" ht="15" customHeight="1" x14ac:dyDescent="0.2">
      <c r="T54" s="1"/>
    </row>
    <row r="55" spans="20:20" ht="15" customHeight="1" x14ac:dyDescent="0.2">
      <c r="T55" s="1"/>
    </row>
    <row r="56" spans="20:20" ht="15" customHeight="1" x14ac:dyDescent="0.2">
      <c r="T56" s="1"/>
    </row>
    <row r="57" spans="20:20" ht="15" customHeight="1" x14ac:dyDescent="0.2">
      <c r="T57" s="1"/>
    </row>
    <row r="58" spans="20:20" ht="15" customHeight="1" x14ac:dyDescent="0.2">
      <c r="T58" s="1"/>
    </row>
    <row r="59" spans="20:20" ht="15" customHeight="1" x14ac:dyDescent="0.2">
      <c r="T59" s="1"/>
    </row>
    <row r="60" spans="20:20" ht="15" customHeight="1" x14ac:dyDescent="0.2">
      <c r="T60" s="1"/>
    </row>
    <row r="61" spans="20:20" ht="15" customHeight="1" x14ac:dyDescent="0.2">
      <c r="T61" s="1"/>
    </row>
    <row r="62" spans="20:20" ht="15" customHeight="1" x14ac:dyDescent="0.2">
      <c r="T62" s="1"/>
    </row>
    <row r="63" spans="20:20" ht="15" customHeight="1" x14ac:dyDescent="0.2">
      <c r="T63" s="1"/>
    </row>
    <row r="64" spans="20:20" ht="15" customHeight="1" x14ac:dyDescent="0.2">
      <c r="T64" s="1"/>
    </row>
    <row r="65" spans="20:20" ht="15" customHeight="1" x14ac:dyDescent="0.2">
      <c r="T65" s="1"/>
    </row>
    <row r="66" spans="20:20" ht="15" customHeight="1" x14ac:dyDescent="0.2">
      <c r="T66" s="1"/>
    </row>
    <row r="67" spans="20:20" ht="15" customHeight="1" x14ac:dyDescent="0.2">
      <c r="T67" s="1"/>
    </row>
    <row r="68" spans="20:20" ht="15" customHeight="1" x14ac:dyDescent="0.2">
      <c r="T68" s="1"/>
    </row>
    <row r="69" spans="20:20" ht="15" customHeight="1" x14ac:dyDescent="0.2">
      <c r="T69" s="1"/>
    </row>
    <row r="70" spans="20:20" ht="15" customHeight="1" x14ac:dyDescent="0.2">
      <c r="T70" s="1"/>
    </row>
    <row r="71" spans="20:20" ht="15" customHeight="1" x14ac:dyDescent="0.2">
      <c r="T71" s="1"/>
    </row>
    <row r="72" spans="20:20" ht="15" customHeight="1" x14ac:dyDescent="0.2">
      <c r="T72" s="1"/>
    </row>
    <row r="73" spans="20:20" ht="15" customHeight="1" x14ac:dyDescent="0.2">
      <c r="T73" s="1"/>
    </row>
    <row r="74" spans="20:20" ht="15" customHeight="1" x14ac:dyDescent="0.2">
      <c r="T74" s="1"/>
    </row>
    <row r="75" spans="20:20" ht="15" customHeight="1" x14ac:dyDescent="0.2">
      <c r="T75" s="1"/>
    </row>
    <row r="76" spans="20:20" ht="15" customHeight="1" x14ac:dyDescent="0.2">
      <c r="T76" s="1"/>
    </row>
    <row r="77" spans="20:20" ht="15" customHeight="1" x14ac:dyDescent="0.2">
      <c r="T77" s="1"/>
    </row>
    <row r="78" spans="20:20" ht="15" customHeight="1" x14ac:dyDescent="0.2">
      <c r="T78" s="1"/>
    </row>
    <row r="79" spans="20:20" ht="15" customHeight="1" x14ac:dyDescent="0.2">
      <c r="T79" s="1"/>
    </row>
    <row r="80" spans="20:20" ht="15" customHeight="1" x14ac:dyDescent="0.2">
      <c r="T80" s="1"/>
    </row>
    <row r="81" spans="20:20" ht="15" customHeight="1" x14ac:dyDescent="0.2">
      <c r="T81" s="1"/>
    </row>
    <row r="82" spans="20:20" ht="15" customHeight="1" x14ac:dyDescent="0.2">
      <c r="T82" s="1"/>
    </row>
    <row r="83" spans="20:20" ht="15" customHeight="1" x14ac:dyDescent="0.2">
      <c r="T83" s="1"/>
    </row>
    <row r="84" spans="20:20" ht="15" customHeight="1" x14ac:dyDescent="0.2">
      <c r="T84" s="1"/>
    </row>
    <row r="85" spans="20:20" ht="15" customHeight="1" x14ac:dyDescent="0.2">
      <c r="T85" s="1"/>
    </row>
    <row r="86" spans="20:20" ht="15" customHeight="1" x14ac:dyDescent="0.2">
      <c r="T86" s="1"/>
    </row>
    <row r="87" spans="20:20" ht="15" customHeight="1" x14ac:dyDescent="0.2">
      <c r="T87" s="1"/>
    </row>
    <row r="88" spans="20:20" ht="15" customHeight="1" x14ac:dyDescent="0.2">
      <c r="T88" s="1"/>
    </row>
    <row r="89" spans="20:20" ht="15" customHeight="1" x14ac:dyDescent="0.2">
      <c r="T89" s="1"/>
    </row>
    <row r="90" spans="20:20" ht="15" customHeight="1" x14ac:dyDescent="0.2">
      <c r="T90" s="1"/>
    </row>
    <row r="91" spans="20:20" ht="15" customHeight="1" x14ac:dyDescent="0.2">
      <c r="T91" s="1"/>
    </row>
    <row r="92" spans="20:20" ht="15" customHeight="1" x14ac:dyDescent="0.2">
      <c r="T92" s="1"/>
    </row>
    <row r="93" spans="20:20" ht="15" customHeight="1" x14ac:dyDescent="0.2">
      <c r="T93" s="1"/>
    </row>
    <row r="94" spans="20:20" ht="15" customHeight="1" x14ac:dyDescent="0.2">
      <c r="T94" s="1"/>
    </row>
    <row r="95" spans="20:20" ht="15" customHeight="1" x14ac:dyDescent="0.2">
      <c r="T95" s="1"/>
    </row>
    <row r="96" spans="20:20" ht="15" customHeight="1" x14ac:dyDescent="0.2">
      <c r="T96" s="1"/>
    </row>
    <row r="97" spans="20:20" ht="15" customHeight="1" x14ac:dyDescent="0.2">
      <c r="T97" s="1"/>
    </row>
    <row r="98" spans="20:20" ht="15" customHeight="1" x14ac:dyDescent="0.2">
      <c r="T98" s="1"/>
    </row>
    <row r="99" spans="20:20" ht="15" customHeight="1" x14ac:dyDescent="0.2">
      <c r="T99" s="1"/>
    </row>
    <row r="100" spans="20:20" ht="15" customHeight="1" x14ac:dyDescent="0.2">
      <c r="T100" s="1"/>
    </row>
    <row r="101" spans="20:20" ht="15" customHeight="1" x14ac:dyDescent="0.2">
      <c r="T101" s="1"/>
    </row>
    <row r="102" spans="20:20" ht="15" customHeight="1" x14ac:dyDescent="0.2">
      <c r="T102" s="1"/>
    </row>
    <row r="103" spans="20:20" ht="15" customHeight="1" x14ac:dyDescent="0.2">
      <c r="T103" s="1"/>
    </row>
    <row r="104" spans="20:20" ht="15" customHeight="1" x14ac:dyDescent="0.2">
      <c r="T104" s="1"/>
    </row>
    <row r="105" spans="20:20" ht="15" customHeight="1" x14ac:dyDescent="0.2">
      <c r="T105" s="1"/>
    </row>
    <row r="106" spans="20:20" ht="15" customHeight="1" x14ac:dyDescent="0.2">
      <c r="T106" s="1"/>
    </row>
    <row r="107" spans="20:20" ht="15" customHeight="1" x14ac:dyDescent="0.2">
      <c r="T107" s="1"/>
    </row>
    <row r="108" spans="20:20" ht="15" customHeight="1" x14ac:dyDescent="0.2">
      <c r="T108" s="1"/>
    </row>
    <row r="109" spans="20:20" ht="15" customHeight="1" x14ac:dyDescent="0.2">
      <c r="T109" s="1"/>
    </row>
    <row r="110" spans="20:20" ht="15" customHeight="1" x14ac:dyDescent="0.2">
      <c r="T110" s="1"/>
    </row>
    <row r="111" spans="20:20" ht="15" customHeight="1" x14ac:dyDescent="0.2">
      <c r="T111" s="1"/>
    </row>
    <row r="112" spans="20:20" ht="15" customHeight="1" x14ac:dyDescent="0.2">
      <c r="T112" s="1"/>
    </row>
    <row r="113" spans="20:20" ht="15" customHeight="1" x14ac:dyDescent="0.2">
      <c r="T113" s="1"/>
    </row>
    <row r="114" spans="20:20" ht="15" customHeight="1" x14ac:dyDescent="0.2">
      <c r="T114" s="1"/>
    </row>
    <row r="115" spans="20:20" ht="15" customHeight="1" x14ac:dyDescent="0.2">
      <c r="T115" s="1"/>
    </row>
    <row r="116" spans="20:20" ht="15" customHeight="1" x14ac:dyDescent="0.2">
      <c r="T116" s="1"/>
    </row>
    <row r="117" spans="20:20" ht="15" customHeight="1" x14ac:dyDescent="0.2">
      <c r="T117" s="1"/>
    </row>
    <row r="118" spans="20:20" ht="15" customHeight="1" x14ac:dyDescent="0.2">
      <c r="T118" s="1"/>
    </row>
    <row r="119" spans="20:20" ht="15" customHeight="1" x14ac:dyDescent="0.2">
      <c r="T119" s="1"/>
    </row>
    <row r="120" spans="20:20" ht="15" customHeight="1" x14ac:dyDescent="0.2">
      <c r="T120" s="1"/>
    </row>
    <row r="121" spans="20:20" ht="15" customHeight="1" x14ac:dyDescent="0.2">
      <c r="T121" s="1"/>
    </row>
    <row r="122" spans="20:20" ht="15" customHeight="1" x14ac:dyDescent="0.2">
      <c r="T122" s="1"/>
    </row>
    <row r="123" spans="20:20" ht="15" customHeight="1" x14ac:dyDescent="0.2">
      <c r="T123" s="1"/>
    </row>
    <row r="124" spans="20:20" ht="15" customHeight="1" x14ac:dyDescent="0.2">
      <c r="T124" s="1"/>
    </row>
    <row r="125" spans="20:20" ht="15" customHeight="1" x14ac:dyDescent="0.2">
      <c r="T125" s="1"/>
    </row>
    <row r="126" spans="20:20" ht="15" customHeight="1" x14ac:dyDescent="0.2">
      <c r="T126" s="1"/>
    </row>
    <row r="127" spans="20:20" ht="15" customHeight="1" x14ac:dyDescent="0.2">
      <c r="T127" s="1"/>
    </row>
    <row r="128" spans="20:20" ht="15" customHeight="1" x14ac:dyDescent="0.2">
      <c r="T128" s="1"/>
    </row>
    <row r="129" spans="20:20" ht="15" customHeight="1" x14ac:dyDescent="0.2">
      <c r="T129" s="1"/>
    </row>
    <row r="130" spans="20:20" ht="15" customHeight="1" x14ac:dyDescent="0.2">
      <c r="T130" s="1"/>
    </row>
    <row r="131" spans="20:20" ht="15" customHeight="1" x14ac:dyDescent="0.2">
      <c r="T131" s="1"/>
    </row>
    <row r="132" spans="20:20" ht="15" customHeight="1" x14ac:dyDescent="0.2">
      <c r="T132" s="1"/>
    </row>
    <row r="133" spans="20:20" ht="15" customHeight="1" x14ac:dyDescent="0.2">
      <c r="T133" s="1"/>
    </row>
    <row r="134" spans="20:20" ht="15" customHeight="1" x14ac:dyDescent="0.2">
      <c r="T134" s="1"/>
    </row>
    <row r="135" spans="20:20" ht="15" customHeight="1" x14ac:dyDescent="0.2">
      <c r="T135" s="1"/>
    </row>
    <row r="136" spans="20:20" ht="15" customHeight="1" x14ac:dyDescent="0.2">
      <c r="T136" s="1"/>
    </row>
    <row r="137" spans="20:20" ht="15" customHeight="1" x14ac:dyDescent="0.2">
      <c r="T137" s="1"/>
    </row>
    <row r="138" spans="20:20" ht="15" customHeight="1" x14ac:dyDescent="0.2">
      <c r="T138" s="1"/>
    </row>
    <row r="139" spans="20:20" ht="15" customHeight="1" x14ac:dyDescent="0.2">
      <c r="T139" s="1"/>
    </row>
    <row r="140" spans="20:20" ht="15" customHeight="1" x14ac:dyDescent="0.2">
      <c r="T140" s="1"/>
    </row>
    <row r="141" spans="20:20" ht="15" customHeight="1" x14ac:dyDescent="0.2">
      <c r="T141" s="1"/>
    </row>
    <row r="142" spans="20:20" ht="15" customHeight="1" x14ac:dyDescent="0.2">
      <c r="T142" s="1"/>
    </row>
    <row r="143" spans="20:20" ht="15" customHeight="1" x14ac:dyDescent="0.2">
      <c r="T143" s="1"/>
    </row>
    <row r="144" spans="20:20" ht="15" customHeight="1" x14ac:dyDescent="0.2">
      <c r="T144" s="1"/>
    </row>
    <row r="145" spans="20:20" ht="15" customHeight="1" x14ac:dyDescent="0.2">
      <c r="T145" s="1"/>
    </row>
    <row r="146" spans="20:20" ht="15" customHeight="1" x14ac:dyDescent="0.2">
      <c r="T146" s="1"/>
    </row>
    <row r="147" spans="20:20" ht="15" customHeight="1" x14ac:dyDescent="0.2">
      <c r="T147" s="1"/>
    </row>
    <row r="148" spans="20:20" ht="15" customHeight="1" x14ac:dyDescent="0.2">
      <c r="T148" s="1"/>
    </row>
    <row r="149" spans="20:20" ht="15" customHeight="1" x14ac:dyDescent="0.2">
      <c r="T149" s="1"/>
    </row>
    <row r="150" spans="20:20" ht="15" customHeight="1" x14ac:dyDescent="0.2">
      <c r="T150" s="1"/>
    </row>
    <row r="151" spans="20:20" ht="15" customHeight="1" x14ac:dyDescent="0.2">
      <c r="T151" s="1"/>
    </row>
    <row r="152" spans="20:20" ht="15" customHeight="1" x14ac:dyDescent="0.2">
      <c r="T152" s="1"/>
    </row>
    <row r="153" spans="20:20" ht="15" customHeight="1" x14ac:dyDescent="0.2">
      <c r="T153" s="1"/>
    </row>
    <row r="154" spans="20:20" ht="15" customHeight="1" x14ac:dyDescent="0.2">
      <c r="T154" s="1"/>
    </row>
    <row r="155" spans="20:20" ht="15" customHeight="1" x14ac:dyDescent="0.2">
      <c r="T155" s="1"/>
    </row>
    <row r="156" spans="20:20" ht="15" customHeight="1" x14ac:dyDescent="0.2">
      <c r="T156" s="1"/>
    </row>
    <row r="157" spans="20:20" ht="15" customHeight="1" x14ac:dyDescent="0.2">
      <c r="T157" s="1"/>
    </row>
    <row r="158" spans="20:20" ht="15" customHeight="1" x14ac:dyDescent="0.2">
      <c r="T158" s="1"/>
    </row>
    <row r="159" spans="20:20" ht="15" customHeight="1" x14ac:dyDescent="0.2">
      <c r="T159" s="1"/>
    </row>
    <row r="160" spans="20:20" ht="15" customHeight="1" x14ac:dyDescent="0.2">
      <c r="T160" s="1"/>
    </row>
    <row r="161" spans="20:20" ht="15" customHeight="1" x14ac:dyDescent="0.2">
      <c r="T161" s="1"/>
    </row>
    <row r="162" spans="20:20" ht="15" customHeight="1" x14ac:dyDescent="0.2">
      <c r="T162" s="1"/>
    </row>
    <row r="163" spans="20:20" ht="15" customHeight="1" x14ac:dyDescent="0.2">
      <c r="T163" s="1"/>
    </row>
    <row r="164" spans="20:20" ht="15" customHeight="1" x14ac:dyDescent="0.2">
      <c r="T164" s="1"/>
    </row>
    <row r="165" spans="20:20" ht="15" customHeight="1" x14ac:dyDescent="0.2">
      <c r="T165" s="1"/>
    </row>
    <row r="166" spans="20:20" ht="15" customHeight="1" x14ac:dyDescent="0.2">
      <c r="T166" s="1"/>
    </row>
    <row r="167" spans="20:20" ht="15" customHeight="1" x14ac:dyDescent="0.2">
      <c r="T167" s="1"/>
    </row>
    <row r="168" spans="20:20" ht="15" customHeight="1" x14ac:dyDescent="0.2">
      <c r="T168" s="1"/>
    </row>
    <row r="169" spans="20:20" ht="15" customHeight="1" x14ac:dyDescent="0.2">
      <c r="T169" s="1"/>
    </row>
    <row r="170" spans="20:20" ht="15" customHeight="1" x14ac:dyDescent="0.2">
      <c r="T170" s="1"/>
    </row>
    <row r="171" spans="20:20" ht="15" customHeight="1" x14ac:dyDescent="0.2">
      <c r="T171" s="1"/>
    </row>
  </sheetData>
  <sortState ref="A17:T36">
    <sortCondition descending="1" ref="T17:T36"/>
  </sortState>
  <pageMargins left="0.75" right="0.75" top="1" bottom="1" header="0.5" footer="0.5"/>
  <pageSetup paperSize="9" scale="64"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7"/>
  <sheetViews>
    <sheetView topLeftCell="A33" zoomScale="90" zoomScaleNormal="90" workbookViewId="0">
      <selection activeCell="A42" sqref="A42"/>
    </sheetView>
  </sheetViews>
  <sheetFormatPr defaultColWidth="9.140625" defaultRowHeight="15" customHeight="1" x14ac:dyDescent="0.2"/>
  <cols>
    <col min="1" max="1" width="22.28515625" customWidth="1"/>
    <col min="2" max="2" width="11" customWidth="1"/>
    <col min="3" max="3" width="8.42578125" customWidth="1"/>
    <col min="4" max="4" width="7.28515625" customWidth="1"/>
    <col min="5" max="5" width="1" customWidth="1"/>
    <col min="6" max="7" width="7.28515625" customWidth="1"/>
    <col min="8" max="8" width="1.140625" customWidth="1"/>
    <col min="9" max="9" width="8.7109375" customWidth="1"/>
    <col min="10" max="10" width="7.28515625" customWidth="1"/>
    <col min="11" max="11" width="1.28515625" customWidth="1"/>
    <col min="12" max="13" width="7.28515625" customWidth="1"/>
    <col min="14" max="14" width="1" customWidth="1"/>
    <col min="15" max="16" width="7.28515625" customWidth="1"/>
    <col min="17" max="17" width="1.28515625" customWidth="1"/>
    <col min="18" max="18" width="7.28515625" style="16" customWidth="1"/>
    <col min="19" max="19" width="7.28515625" customWidth="1"/>
    <col min="20" max="20" width="7.5703125" bestFit="1" customWidth="1"/>
  </cols>
  <sheetData>
    <row r="1" spans="1:20" ht="34.5" x14ac:dyDescent="0.45">
      <c r="B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spans="1:20" ht="15" customHeight="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3"/>
      <c r="T2" s="3"/>
    </row>
    <row r="3" spans="1:20" ht="15" customHeight="1" x14ac:dyDescent="0.25">
      <c r="A3" s="10"/>
      <c r="B3" s="3"/>
      <c r="C3" s="20" t="s">
        <v>7</v>
      </c>
      <c r="D3" s="20"/>
      <c r="E3" s="20"/>
      <c r="F3" s="20" t="s">
        <v>18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8"/>
      <c r="T3" s="18"/>
    </row>
    <row r="4" spans="1:20" ht="15" customHeight="1" x14ac:dyDescent="0.2">
      <c r="A4" s="10"/>
      <c r="B4" s="3"/>
      <c r="C4" s="26">
        <v>42686</v>
      </c>
      <c r="D4" s="3"/>
      <c r="E4" s="3"/>
      <c r="F4" s="26">
        <v>42700</v>
      </c>
      <c r="G4" s="3"/>
      <c r="H4" s="3"/>
      <c r="I4" s="26"/>
      <c r="J4" s="3"/>
      <c r="K4" s="3"/>
      <c r="L4" s="26"/>
      <c r="M4" s="3"/>
      <c r="N4" s="3"/>
      <c r="O4" s="26"/>
      <c r="P4" s="3"/>
      <c r="Q4" s="3"/>
      <c r="R4" s="18"/>
      <c r="S4" s="18"/>
      <c r="T4" s="18"/>
    </row>
    <row r="5" spans="1:20" ht="15" customHeight="1" x14ac:dyDescent="0.2">
      <c r="A5" s="10"/>
      <c r="B5" s="3" t="s">
        <v>4</v>
      </c>
      <c r="C5" s="3" t="s">
        <v>0</v>
      </c>
      <c r="D5" s="3" t="s">
        <v>5</v>
      </c>
      <c r="E5" s="3"/>
      <c r="F5" s="3" t="s">
        <v>0</v>
      </c>
      <c r="G5" s="3" t="s">
        <v>5</v>
      </c>
      <c r="H5" s="3"/>
      <c r="I5" s="3" t="s">
        <v>0</v>
      </c>
      <c r="J5" s="3" t="s">
        <v>5</v>
      </c>
      <c r="K5" s="3"/>
      <c r="L5" s="3" t="s">
        <v>0</v>
      </c>
      <c r="M5" s="3" t="s">
        <v>5</v>
      </c>
      <c r="N5" s="3"/>
      <c r="O5" s="3" t="s">
        <v>0</v>
      </c>
      <c r="P5" s="3" t="s">
        <v>5</v>
      </c>
      <c r="Q5" s="3"/>
      <c r="R5" s="18" t="s">
        <v>0</v>
      </c>
      <c r="S5" s="18" t="s">
        <v>5</v>
      </c>
      <c r="T5" s="18" t="s">
        <v>1</v>
      </c>
    </row>
    <row r="6" spans="1:20" ht="15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</row>
    <row r="7" spans="1:20" ht="23.25" x14ac:dyDescent="0.35">
      <c r="A7" s="4" t="s">
        <v>10</v>
      </c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1"/>
      <c r="S7" s="51"/>
      <c r="T7" s="18"/>
    </row>
    <row r="8" spans="1:20" ht="15" customHeight="1" x14ac:dyDescent="0.2">
      <c r="A8" s="71" t="s">
        <v>60</v>
      </c>
      <c r="B8" s="71" t="s">
        <v>27</v>
      </c>
      <c r="C8" s="72">
        <v>4.0636574074074075E-2</v>
      </c>
      <c r="D8" s="52">
        <v>100</v>
      </c>
      <c r="E8" s="23"/>
      <c r="F8" s="27"/>
      <c r="G8" s="53"/>
      <c r="H8" s="23"/>
      <c r="I8" s="54"/>
      <c r="J8" s="54"/>
      <c r="K8" s="23"/>
      <c r="L8" s="54"/>
      <c r="M8" s="54"/>
      <c r="N8" s="23"/>
      <c r="O8" s="23"/>
      <c r="P8" s="23"/>
      <c r="Q8" s="23"/>
      <c r="R8" s="51"/>
      <c r="S8" s="51"/>
      <c r="T8" s="19">
        <f t="shared" ref="T8:T27" si="0">((((D8+G8)+J8)+M8)+P8)+S8</f>
        <v>100</v>
      </c>
    </row>
    <row r="9" spans="1:20" ht="15" customHeight="1" x14ac:dyDescent="0.2">
      <c r="A9" s="71" t="s">
        <v>61</v>
      </c>
      <c r="B9" s="71" t="s">
        <v>29</v>
      </c>
      <c r="C9" s="72">
        <v>4.1469907407407407E-2</v>
      </c>
      <c r="D9" s="52">
        <v>98</v>
      </c>
      <c r="E9" s="23"/>
      <c r="F9" s="55"/>
      <c r="G9" s="53"/>
      <c r="H9" s="23"/>
      <c r="I9" s="54"/>
      <c r="J9" s="54"/>
      <c r="K9" s="23"/>
      <c r="L9" s="54"/>
      <c r="M9" s="54"/>
      <c r="N9" s="23"/>
      <c r="O9" s="23"/>
      <c r="P9" s="23"/>
      <c r="Q9" s="23"/>
      <c r="R9" s="51"/>
      <c r="S9" s="51"/>
      <c r="T9" s="19">
        <f t="shared" si="0"/>
        <v>98</v>
      </c>
    </row>
    <row r="10" spans="1:20" ht="15" customHeight="1" x14ac:dyDescent="0.2">
      <c r="A10" s="71" t="s">
        <v>62</v>
      </c>
      <c r="B10" s="71" t="s">
        <v>29</v>
      </c>
      <c r="C10" s="72">
        <v>4.6076388888888882E-2</v>
      </c>
      <c r="D10" s="23">
        <v>92</v>
      </c>
      <c r="E10" s="23"/>
      <c r="F10" s="25"/>
      <c r="G10" s="23"/>
      <c r="H10" s="23"/>
      <c r="I10" s="54"/>
      <c r="J10" s="54"/>
      <c r="K10" s="23"/>
      <c r="L10" s="54"/>
      <c r="M10" s="54"/>
      <c r="N10" s="23"/>
      <c r="O10" s="23"/>
      <c r="P10" s="23"/>
      <c r="Q10" s="23"/>
      <c r="R10" s="51"/>
      <c r="S10" s="51"/>
      <c r="T10" s="19">
        <f t="shared" si="0"/>
        <v>92</v>
      </c>
    </row>
    <row r="11" spans="1:20" ht="15" customHeight="1" x14ac:dyDescent="0.2">
      <c r="A11" s="71" t="s">
        <v>63</v>
      </c>
      <c r="B11" s="71" t="s">
        <v>29</v>
      </c>
      <c r="C11" s="72">
        <v>5.7210648148148142E-2</v>
      </c>
      <c r="D11" s="23">
        <v>76</v>
      </c>
      <c r="E11" s="23"/>
      <c r="F11" s="23"/>
      <c r="G11" s="23"/>
      <c r="H11" s="23"/>
      <c r="I11" s="54"/>
      <c r="J11" s="54"/>
      <c r="K11" s="23"/>
      <c r="L11" s="54"/>
      <c r="M11" s="54"/>
      <c r="N11" s="23"/>
      <c r="O11" s="23"/>
      <c r="P11" s="23"/>
      <c r="Q11" s="23"/>
      <c r="R11" s="51"/>
      <c r="S11" s="51"/>
      <c r="T11" s="19">
        <f t="shared" si="0"/>
        <v>76</v>
      </c>
    </row>
    <row r="12" spans="1:20" ht="15" customHeight="1" x14ac:dyDescent="0.2">
      <c r="A12" s="71" t="s">
        <v>64</v>
      </c>
      <c r="B12" s="71" t="s">
        <v>26</v>
      </c>
      <c r="C12" s="71" t="s">
        <v>36</v>
      </c>
      <c r="D12" s="23"/>
      <c r="E12" s="23"/>
      <c r="F12" s="25"/>
      <c r="G12" s="23"/>
      <c r="H12" s="23"/>
      <c r="I12" s="54"/>
      <c r="J12" s="54"/>
      <c r="K12" s="23"/>
      <c r="L12" s="54"/>
      <c r="M12" s="54"/>
      <c r="N12" s="23"/>
      <c r="O12" s="54"/>
      <c r="P12" s="54"/>
      <c r="Q12" s="23"/>
      <c r="R12" s="51"/>
      <c r="S12" s="51"/>
      <c r="T12" s="19">
        <f t="shared" si="0"/>
        <v>0</v>
      </c>
    </row>
    <row r="13" spans="1:20" ht="15" customHeight="1" x14ac:dyDescent="0.2">
      <c r="A13" s="71" t="s">
        <v>65</v>
      </c>
      <c r="B13" s="71" t="s">
        <v>27</v>
      </c>
      <c r="C13" s="71" t="s">
        <v>36</v>
      </c>
      <c r="D13" s="52"/>
      <c r="E13" s="23"/>
      <c r="F13" s="27"/>
      <c r="G13" s="54"/>
      <c r="H13" s="23"/>
      <c r="I13" s="54"/>
      <c r="J13" s="54"/>
      <c r="K13" s="23"/>
      <c r="L13" s="54"/>
      <c r="M13" s="54"/>
      <c r="N13" s="23"/>
      <c r="O13" s="23"/>
      <c r="P13" s="23"/>
      <c r="Q13" s="23"/>
      <c r="R13" s="51"/>
      <c r="S13" s="51"/>
      <c r="T13" s="19">
        <f t="shared" si="0"/>
        <v>0</v>
      </c>
    </row>
    <row r="14" spans="1:20" ht="15" customHeight="1" x14ac:dyDescent="0.2">
      <c r="A14" s="7"/>
      <c r="B14" s="7"/>
      <c r="C14" s="54"/>
      <c r="D14" s="23"/>
      <c r="E14" s="23"/>
      <c r="F14" s="25"/>
      <c r="G14" s="23"/>
      <c r="H14" s="23"/>
      <c r="I14" s="54"/>
      <c r="J14" s="54"/>
      <c r="K14" s="23"/>
      <c r="L14" s="54"/>
      <c r="M14" s="54"/>
      <c r="N14" s="23"/>
      <c r="O14" s="23"/>
      <c r="P14" s="23"/>
      <c r="Q14" s="23"/>
      <c r="R14" s="51"/>
      <c r="S14" s="51"/>
      <c r="T14" s="19">
        <f t="shared" si="0"/>
        <v>0</v>
      </c>
    </row>
    <row r="15" spans="1:20" ht="15" customHeight="1" x14ac:dyDescent="0.2">
      <c r="A15" s="22"/>
      <c r="B15" s="22"/>
      <c r="C15" s="52"/>
      <c r="D15" s="52"/>
      <c r="E15" s="23"/>
      <c r="F15" s="55"/>
      <c r="G15" s="23"/>
      <c r="H15" s="23"/>
      <c r="I15" s="54"/>
      <c r="J15" s="54"/>
      <c r="K15" s="23"/>
      <c r="L15" s="54"/>
      <c r="M15" s="54"/>
      <c r="N15" s="23"/>
      <c r="O15" s="54"/>
      <c r="P15" s="54"/>
      <c r="Q15" s="23"/>
      <c r="R15" s="51"/>
      <c r="S15" s="51"/>
      <c r="T15" s="19">
        <f t="shared" si="0"/>
        <v>0</v>
      </c>
    </row>
    <row r="16" spans="1:20" ht="15" customHeight="1" x14ac:dyDescent="0.2">
      <c r="A16" s="22"/>
      <c r="B16" s="22"/>
      <c r="C16" s="52"/>
      <c r="D16" s="52"/>
      <c r="E16" s="23"/>
      <c r="F16" s="27"/>
      <c r="G16" s="53"/>
      <c r="H16" s="23"/>
      <c r="I16" s="54"/>
      <c r="J16" s="54"/>
      <c r="K16" s="23"/>
      <c r="L16" s="54"/>
      <c r="M16" s="54"/>
      <c r="N16" s="23"/>
      <c r="O16" s="23"/>
      <c r="P16" s="23"/>
      <c r="Q16" s="23"/>
      <c r="R16" s="51"/>
      <c r="S16" s="51"/>
      <c r="T16" s="19">
        <f t="shared" si="0"/>
        <v>0</v>
      </c>
    </row>
    <row r="17" spans="1:20" ht="15" customHeight="1" x14ac:dyDescent="0.2">
      <c r="A17" s="22"/>
      <c r="B17" s="22"/>
      <c r="C17" s="52"/>
      <c r="D17" s="52"/>
      <c r="E17" s="23"/>
      <c r="F17" s="27"/>
      <c r="G17" s="53"/>
      <c r="H17" s="23"/>
      <c r="I17" s="54"/>
      <c r="J17" s="54"/>
      <c r="K17" s="23"/>
      <c r="L17" s="54"/>
      <c r="M17" s="54"/>
      <c r="N17" s="23"/>
      <c r="O17" s="23"/>
      <c r="P17" s="23"/>
      <c r="Q17" s="23"/>
      <c r="R17" s="51"/>
      <c r="S17" s="51"/>
      <c r="T17" s="19">
        <f t="shared" si="0"/>
        <v>0</v>
      </c>
    </row>
    <row r="18" spans="1:20" ht="15" customHeight="1" x14ac:dyDescent="0.2">
      <c r="A18" s="22"/>
      <c r="B18" s="22"/>
      <c r="C18" s="52"/>
      <c r="D18" s="52"/>
      <c r="E18" s="23"/>
      <c r="F18" s="25"/>
      <c r="G18" s="23"/>
      <c r="H18" s="23"/>
      <c r="I18" s="54"/>
      <c r="J18" s="54"/>
      <c r="K18" s="23"/>
      <c r="L18" s="54"/>
      <c r="M18" s="54"/>
      <c r="N18" s="23"/>
      <c r="O18" s="23"/>
      <c r="P18" s="23"/>
      <c r="Q18" s="23"/>
      <c r="R18" s="51"/>
      <c r="S18" s="51"/>
      <c r="T18" s="19">
        <f t="shared" si="0"/>
        <v>0</v>
      </c>
    </row>
    <row r="19" spans="1:20" ht="15" customHeight="1" x14ac:dyDescent="0.2">
      <c r="A19" s="7"/>
      <c r="B19" s="7"/>
      <c r="C19" s="54"/>
      <c r="D19" s="23"/>
      <c r="E19" s="23"/>
      <c r="F19" s="25"/>
      <c r="G19" s="23"/>
      <c r="H19" s="23"/>
      <c r="I19" s="54"/>
      <c r="J19" s="54"/>
      <c r="K19" s="23"/>
      <c r="L19" s="54"/>
      <c r="M19" s="54"/>
      <c r="N19" s="23"/>
      <c r="O19" s="23"/>
      <c r="P19" s="23"/>
      <c r="Q19" s="23"/>
      <c r="R19" s="51"/>
      <c r="S19" s="51"/>
      <c r="T19" s="19">
        <f t="shared" si="0"/>
        <v>0</v>
      </c>
    </row>
    <row r="20" spans="1:20" ht="15" customHeight="1" x14ac:dyDescent="0.2">
      <c r="A20" s="7"/>
      <c r="B20" s="7"/>
      <c r="C20" s="54"/>
      <c r="D20" s="23"/>
      <c r="E20" s="23"/>
      <c r="F20" s="25"/>
      <c r="G20" s="23"/>
      <c r="H20" s="23"/>
      <c r="I20" s="54"/>
      <c r="J20" s="54"/>
      <c r="K20" s="23"/>
      <c r="L20" s="54"/>
      <c r="M20" s="54"/>
      <c r="N20" s="23"/>
      <c r="O20" s="23"/>
      <c r="P20" s="23"/>
      <c r="Q20" s="23"/>
      <c r="R20" s="51"/>
      <c r="S20" s="51"/>
      <c r="T20" s="19">
        <f t="shared" si="0"/>
        <v>0</v>
      </c>
    </row>
    <row r="21" spans="1:20" ht="15" customHeight="1" x14ac:dyDescent="0.2">
      <c r="A21" s="7"/>
      <c r="B21" s="7"/>
      <c r="C21" s="54"/>
      <c r="D21" s="23"/>
      <c r="E21" s="23"/>
      <c r="F21" s="25"/>
      <c r="G21" s="23"/>
      <c r="H21" s="23"/>
      <c r="I21" s="54"/>
      <c r="J21" s="54"/>
      <c r="K21" s="23"/>
      <c r="L21" s="54"/>
      <c r="M21" s="54"/>
      <c r="N21" s="23"/>
      <c r="O21" s="54"/>
      <c r="P21" s="54"/>
      <c r="Q21" s="23"/>
      <c r="R21" s="51"/>
      <c r="S21" s="51"/>
      <c r="T21" s="19">
        <f t="shared" si="0"/>
        <v>0</v>
      </c>
    </row>
    <row r="22" spans="1:20" ht="15" customHeight="1" x14ac:dyDescent="0.2">
      <c r="A22" s="22"/>
      <c r="B22" s="22"/>
      <c r="C22" s="52"/>
      <c r="D22" s="52"/>
      <c r="E22" s="23"/>
      <c r="F22" s="55"/>
      <c r="G22" s="23"/>
      <c r="H22" s="23"/>
      <c r="I22" s="54"/>
      <c r="J22" s="54"/>
      <c r="K22" s="23"/>
      <c r="L22" s="54"/>
      <c r="M22" s="54"/>
      <c r="N22" s="23"/>
      <c r="O22" s="54"/>
      <c r="P22" s="54"/>
      <c r="Q22" s="23"/>
      <c r="R22" s="51"/>
      <c r="S22" s="51"/>
      <c r="T22" s="19">
        <f t="shared" si="0"/>
        <v>0</v>
      </c>
    </row>
    <row r="23" spans="1:20" ht="15" customHeight="1" x14ac:dyDescent="0.2">
      <c r="A23" s="22"/>
      <c r="B23" s="22"/>
      <c r="C23" s="52"/>
      <c r="D23" s="52"/>
      <c r="E23" s="23"/>
      <c r="F23" s="27"/>
      <c r="G23" s="53"/>
      <c r="H23" s="23"/>
      <c r="I23" s="54"/>
      <c r="J23" s="54"/>
      <c r="K23" s="23"/>
      <c r="L23" s="54"/>
      <c r="M23" s="54"/>
      <c r="N23" s="23"/>
      <c r="O23" s="54"/>
      <c r="P23" s="54"/>
      <c r="Q23" s="23"/>
      <c r="R23" s="51"/>
      <c r="S23" s="51"/>
      <c r="T23" s="19">
        <f t="shared" si="0"/>
        <v>0</v>
      </c>
    </row>
    <row r="24" spans="1:20" ht="15" customHeight="1" x14ac:dyDescent="0.2">
      <c r="A24" s="22"/>
      <c r="B24" s="22"/>
      <c r="C24" s="52"/>
      <c r="D24" s="52"/>
      <c r="E24" s="23"/>
      <c r="F24" s="55"/>
      <c r="G24" s="23"/>
      <c r="H24" s="23"/>
      <c r="I24" s="54"/>
      <c r="J24" s="54"/>
      <c r="K24" s="23"/>
      <c r="L24" s="54"/>
      <c r="M24" s="54"/>
      <c r="N24" s="23"/>
      <c r="O24" s="54"/>
      <c r="P24" s="54"/>
      <c r="Q24" s="23"/>
      <c r="R24" s="51"/>
      <c r="S24" s="51"/>
      <c r="T24" s="19">
        <f t="shared" si="0"/>
        <v>0</v>
      </c>
    </row>
    <row r="25" spans="1:20" ht="15" customHeight="1" x14ac:dyDescent="0.2">
      <c r="A25" s="22"/>
      <c r="B25" s="22"/>
      <c r="C25" s="52"/>
      <c r="D25" s="52"/>
      <c r="E25" s="23"/>
      <c r="F25" s="55"/>
      <c r="G25" s="23"/>
      <c r="H25" s="23"/>
      <c r="I25" s="54"/>
      <c r="J25" s="54"/>
      <c r="K25" s="23"/>
      <c r="L25" s="54"/>
      <c r="M25" s="54"/>
      <c r="N25" s="23"/>
      <c r="O25" s="23"/>
      <c r="P25" s="23"/>
      <c r="Q25" s="23"/>
      <c r="R25" s="51"/>
      <c r="S25" s="51"/>
      <c r="T25" s="19">
        <f t="shared" si="0"/>
        <v>0</v>
      </c>
    </row>
    <row r="26" spans="1:20" ht="15" customHeight="1" x14ac:dyDescent="0.2">
      <c r="A26" s="7"/>
      <c r="B26" s="7"/>
      <c r="C26" s="54"/>
      <c r="D26" s="23"/>
      <c r="E26" s="23"/>
      <c r="F26" s="25"/>
      <c r="G26" s="23"/>
      <c r="H26" s="23"/>
      <c r="I26" s="54"/>
      <c r="J26" s="54"/>
      <c r="K26" s="23"/>
      <c r="L26" s="54"/>
      <c r="M26" s="54"/>
      <c r="N26" s="23"/>
      <c r="O26" s="23"/>
      <c r="P26" s="23"/>
      <c r="Q26" s="23"/>
      <c r="R26" s="51"/>
      <c r="S26" s="51"/>
      <c r="T26" s="19">
        <f t="shared" si="0"/>
        <v>0</v>
      </c>
    </row>
    <row r="27" spans="1:20" ht="15" customHeight="1" x14ac:dyDescent="0.2">
      <c r="A27" s="3"/>
      <c r="B27" s="3"/>
      <c r="C27" s="23"/>
      <c r="D27" s="23"/>
      <c r="E27" s="23"/>
      <c r="F27" s="25"/>
      <c r="G27" s="23"/>
      <c r="H27" s="23"/>
      <c r="I27" s="23"/>
      <c r="J27" s="23"/>
      <c r="K27" s="23"/>
      <c r="L27" s="54"/>
      <c r="M27" s="54"/>
      <c r="N27" s="23"/>
      <c r="O27" s="23"/>
      <c r="P27" s="23"/>
      <c r="Q27" s="23"/>
      <c r="R27" s="51"/>
      <c r="S27" s="51"/>
      <c r="T27" s="19">
        <f t="shared" si="0"/>
        <v>0</v>
      </c>
    </row>
    <row r="28" spans="1:20" ht="15" customHeight="1" x14ac:dyDescent="0.2">
      <c r="A28" s="3"/>
      <c r="B28" s="3"/>
      <c r="C28" s="23"/>
      <c r="D28" s="23"/>
      <c r="E28" s="23"/>
      <c r="F28" s="25"/>
      <c r="G28" s="23"/>
      <c r="H28" s="23"/>
      <c r="I28" s="23"/>
      <c r="J28" s="23"/>
      <c r="K28" s="23"/>
      <c r="L28" s="54"/>
      <c r="M28" s="54"/>
      <c r="N28" s="23"/>
      <c r="O28" s="23"/>
      <c r="P28" s="23"/>
      <c r="Q28" s="23"/>
      <c r="R28" s="51"/>
      <c r="S28" s="51"/>
      <c r="T28" s="46"/>
    </row>
    <row r="29" spans="1:20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2"/>
      <c r="T29" s="47"/>
    </row>
    <row r="30" spans="1:20" ht="23.25" x14ac:dyDescent="0.35">
      <c r="A30" s="4" t="s">
        <v>11</v>
      </c>
      <c r="B30" s="3"/>
      <c r="C30" s="3"/>
      <c r="D30" s="3"/>
      <c r="E30" s="5"/>
      <c r="F30" s="9"/>
      <c r="G30" s="3"/>
      <c r="H30" s="5"/>
      <c r="I30" s="3"/>
      <c r="J30" s="3"/>
      <c r="K30" s="5"/>
      <c r="L30" s="3"/>
      <c r="M30" s="3"/>
      <c r="N30" s="45"/>
      <c r="O30" s="3"/>
      <c r="P30" s="3"/>
      <c r="Q30" s="5"/>
      <c r="R30" s="18"/>
      <c r="S30" s="18"/>
      <c r="T30" s="46"/>
    </row>
    <row r="31" spans="1:20" ht="15" customHeight="1" x14ac:dyDescent="0.2">
      <c r="A31" s="71" t="s">
        <v>40</v>
      </c>
      <c r="B31" s="71" t="s">
        <v>27</v>
      </c>
      <c r="C31" s="72">
        <v>3.0729166666666669E-2</v>
      </c>
      <c r="D31" s="35">
        <v>100</v>
      </c>
      <c r="E31" s="23"/>
      <c r="F31" s="27"/>
      <c r="G31" s="53"/>
      <c r="H31" s="23"/>
      <c r="I31" s="23"/>
      <c r="J31" s="23"/>
      <c r="K31" s="23"/>
      <c r="L31" s="23"/>
      <c r="M31" s="23"/>
      <c r="N31" s="23"/>
      <c r="O31" s="23"/>
      <c r="P31" s="57"/>
      <c r="Q31" s="23"/>
      <c r="R31" s="51"/>
      <c r="S31" s="51"/>
      <c r="T31" s="19">
        <f t="shared" ref="T31:T78" si="1">((((D31+G31)+J31)+M31)+P31)+S31</f>
        <v>100</v>
      </c>
    </row>
    <row r="32" spans="1:20" ht="15" customHeight="1" x14ac:dyDescent="0.2">
      <c r="A32" s="71" t="s">
        <v>41</v>
      </c>
      <c r="B32" s="71" t="s">
        <v>29</v>
      </c>
      <c r="C32" s="72">
        <v>3.1747685185185184E-2</v>
      </c>
      <c r="D32" s="35">
        <v>98</v>
      </c>
      <c r="E32" s="23"/>
      <c r="F32" s="27"/>
      <c r="G32" s="5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51"/>
      <c r="S32" s="51"/>
      <c r="T32" s="19">
        <f t="shared" si="1"/>
        <v>98</v>
      </c>
    </row>
    <row r="33" spans="1:20" ht="15" customHeight="1" x14ac:dyDescent="0.2">
      <c r="A33" s="71" t="s">
        <v>42</v>
      </c>
      <c r="B33" s="71" t="s">
        <v>27</v>
      </c>
      <c r="C33" s="72">
        <v>3.2118055555555559E-2</v>
      </c>
      <c r="D33" s="35">
        <v>97</v>
      </c>
      <c r="E33" s="23"/>
      <c r="F33" s="27"/>
      <c r="G33" s="5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51"/>
      <c r="S33" s="51"/>
      <c r="T33" s="19">
        <f t="shared" si="1"/>
        <v>97</v>
      </c>
    </row>
    <row r="34" spans="1:20" ht="15" customHeight="1" x14ac:dyDescent="0.2">
      <c r="A34" s="71" t="s">
        <v>43</v>
      </c>
      <c r="B34" s="71" t="s">
        <v>28</v>
      </c>
      <c r="C34" s="72">
        <v>3.2743055555555553E-2</v>
      </c>
      <c r="D34" s="27">
        <v>97</v>
      </c>
      <c r="E34" s="23"/>
      <c r="F34" s="27"/>
      <c r="G34" s="53"/>
      <c r="H34" s="23"/>
      <c r="I34" s="23"/>
      <c r="J34" s="23"/>
      <c r="K34" s="23"/>
      <c r="L34" s="23"/>
      <c r="M34" s="23"/>
      <c r="N34" s="23"/>
      <c r="O34" s="23"/>
      <c r="P34" s="57"/>
      <c r="Q34" s="23"/>
      <c r="R34" s="51"/>
      <c r="S34" s="51"/>
      <c r="T34" s="19">
        <f t="shared" si="1"/>
        <v>97</v>
      </c>
    </row>
    <row r="35" spans="1:20" ht="15" customHeight="1" x14ac:dyDescent="0.2">
      <c r="A35" s="71" t="s">
        <v>44</v>
      </c>
      <c r="B35" s="71" t="s">
        <v>29</v>
      </c>
      <c r="C35" s="72">
        <v>3.2847222222222222E-2</v>
      </c>
      <c r="D35" s="54">
        <v>96</v>
      </c>
      <c r="E35" s="23"/>
      <c r="F35" s="27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51"/>
      <c r="S35" s="51"/>
      <c r="T35" s="19">
        <f t="shared" si="1"/>
        <v>96</v>
      </c>
    </row>
    <row r="36" spans="1:20" ht="15" customHeight="1" x14ac:dyDescent="0.2">
      <c r="A36" s="71" t="s">
        <v>45</v>
      </c>
      <c r="B36" s="71" t="s">
        <v>27</v>
      </c>
      <c r="C36" s="72">
        <v>3.3553240740740745E-2</v>
      </c>
      <c r="D36" s="35">
        <v>95</v>
      </c>
      <c r="E36" s="23"/>
      <c r="F36" s="27"/>
      <c r="G36" s="5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51"/>
      <c r="S36" s="51"/>
      <c r="T36" s="19">
        <f t="shared" si="1"/>
        <v>95</v>
      </c>
    </row>
    <row r="37" spans="1:20" ht="15" customHeight="1" x14ac:dyDescent="0.2">
      <c r="A37" s="71" t="s">
        <v>46</v>
      </c>
      <c r="B37" s="71" t="s">
        <v>27</v>
      </c>
      <c r="C37" s="72">
        <v>3.3796296296296297E-2</v>
      </c>
      <c r="D37" s="23">
        <v>95</v>
      </c>
      <c r="E37" s="23"/>
      <c r="F37" s="25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51"/>
      <c r="S37" s="51"/>
      <c r="T37" s="19">
        <f t="shared" si="1"/>
        <v>95</v>
      </c>
    </row>
    <row r="38" spans="1:20" ht="15" customHeight="1" x14ac:dyDescent="0.2">
      <c r="A38" s="71" t="s">
        <v>47</v>
      </c>
      <c r="B38" s="71" t="s">
        <v>28</v>
      </c>
      <c r="C38" s="72">
        <v>3.5821759259259262E-2</v>
      </c>
      <c r="D38" s="58">
        <v>92</v>
      </c>
      <c r="E38" s="58"/>
      <c r="F38" s="59"/>
      <c r="G38" s="58"/>
      <c r="H38" s="58"/>
      <c r="I38" s="23"/>
      <c r="J38" s="23"/>
      <c r="K38" s="58"/>
      <c r="L38" s="58"/>
      <c r="M38" s="23"/>
      <c r="N38" s="58"/>
      <c r="O38" s="58"/>
      <c r="P38" s="58"/>
      <c r="Q38" s="58"/>
      <c r="R38" s="60"/>
      <c r="S38" s="58"/>
      <c r="T38" s="19">
        <f t="shared" si="1"/>
        <v>92</v>
      </c>
    </row>
    <row r="39" spans="1:20" ht="15" customHeight="1" x14ac:dyDescent="0.2">
      <c r="A39" s="71" t="s">
        <v>48</v>
      </c>
      <c r="B39" s="71" t="s">
        <v>59</v>
      </c>
      <c r="C39" s="72">
        <v>3.7511574074074072E-2</v>
      </c>
      <c r="D39" s="27">
        <v>90</v>
      </c>
      <c r="E39" s="23"/>
      <c r="F39" s="27"/>
      <c r="G39" s="53"/>
      <c r="H39" s="23"/>
      <c r="I39" s="23"/>
      <c r="J39" s="23"/>
      <c r="K39" s="23"/>
      <c r="L39" s="23"/>
      <c r="M39" s="23"/>
      <c r="N39" s="23"/>
      <c r="O39" s="54"/>
      <c r="P39" s="57"/>
      <c r="Q39" s="23"/>
      <c r="R39" s="51"/>
      <c r="S39" s="51"/>
      <c r="T39" s="19">
        <f t="shared" si="1"/>
        <v>90</v>
      </c>
    </row>
    <row r="40" spans="1:20" ht="15" customHeight="1" x14ac:dyDescent="0.2">
      <c r="A40" s="71" t="s">
        <v>49</v>
      </c>
      <c r="B40" s="71" t="s">
        <v>26</v>
      </c>
      <c r="C40" s="72">
        <v>3.75462962962963E-2</v>
      </c>
      <c r="D40" s="23">
        <v>90</v>
      </c>
      <c r="E40" s="23"/>
      <c r="F40" s="25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1"/>
      <c r="S40" s="51"/>
      <c r="T40" s="19">
        <f t="shared" si="1"/>
        <v>90</v>
      </c>
    </row>
    <row r="41" spans="1:20" ht="15" customHeight="1" x14ac:dyDescent="0.2">
      <c r="A41" s="71" t="s">
        <v>50</v>
      </c>
      <c r="B41" s="71" t="s">
        <v>29</v>
      </c>
      <c r="C41" s="72">
        <v>3.8136574074074073E-2</v>
      </c>
      <c r="D41" s="58">
        <v>89</v>
      </c>
      <c r="E41" s="58"/>
      <c r="F41" s="58"/>
      <c r="G41" s="58"/>
      <c r="H41" s="58"/>
      <c r="I41" s="23"/>
      <c r="J41" s="23"/>
      <c r="K41" s="58"/>
      <c r="L41" s="58"/>
      <c r="M41" s="23"/>
      <c r="N41" s="58"/>
      <c r="O41" s="58"/>
      <c r="P41" s="57"/>
      <c r="Q41" s="58"/>
      <c r="R41" s="60"/>
      <c r="S41" s="58"/>
      <c r="T41" s="19">
        <f t="shared" si="1"/>
        <v>89</v>
      </c>
    </row>
    <row r="42" spans="1:20" ht="15" customHeight="1" x14ac:dyDescent="0.2">
      <c r="A42" s="71" t="s">
        <v>105</v>
      </c>
      <c r="B42" s="71" t="s">
        <v>28</v>
      </c>
      <c r="C42" s="72">
        <v>3.8437499999999999E-2</v>
      </c>
      <c r="D42" s="35">
        <v>88</v>
      </c>
      <c r="E42" s="23"/>
      <c r="F42" s="27"/>
      <c r="G42" s="5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61"/>
      <c r="S42" s="51"/>
      <c r="T42" s="19">
        <f t="shared" si="1"/>
        <v>88</v>
      </c>
    </row>
    <row r="43" spans="1:20" ht="15" customHeight="1" x14ac:dyDescent="0.2">
      <c r="A43" s="71" t="s">
        <v>51</v>
      </c>
      <c r="B43" s="71" t="s">
        <v>29</v>
      </c>
      <c r="C43" s="72">
        <v>3.9768518518518516E-2</v>
      </c>
      <c r="D43" s="58">
        <v>86</v>
      </c>
      <c r="E43" s="58"/>
      <c r="F43" s="58"/>
      <c r="G43" s="58"/>
      <c r="H43" s="58"/>
      <c r="I43" s="23"/>
      <c r="J43" s="23"/>
      <c r="K43" s="58"/>
      <c r="L43" s="58"/>
      <c r="M43" s="58"/>
      <c r="N43" s="58"/>
      <c r="O43" s="57"/>
      <c r="P43" s="57"/>
      <c r="Q43" s="58"/>
      <c r="R43" s="60"/>
      <c r="S43" s="58"/>
      <c r="T43" s="19">
        <f t="shared" si="1"/>
        <v>86</v>
      </c>
    </row>
    <row r="44" spans="1:20" ht="15" customHeight="1" x14ac:dyDescent="0.2">
      <c r="A44" s="71" t="s">
        <v>52</v>
      </c>
      <c r="B44" s="71" t="s">
        <v>59</v>
      </c>
      <c r="C44" s="72">
        <v>4.0740740740740737E-2</v>
      </c>
      <c r="D44" s="58">
        <v>85</v>
      </c>
      <c r="E44" s="58"/>
      <c r="F44" s="58"/>
      <c r="G44" s="58"/>
      <c r="H44" s="58"/>
      <c r="I44" s="23"/>
      <c r="J44" s="23"/>
      <c r="K44" s="58"/>
      <c r="L44" s="58"/>
      <c r="M44" s="23"/>
      <c r="N44" s="58"/>
      <c r="O44" s="58"/>
      <c r="P44" s="57"/>
      <c r="Q44" s="58"/>
      <c r="R44" s="61"/>
      <c r="S44" s="58"/>
      <c r="T44" s="19">
        <f t="shared" si="1"/>
        <v>85</v>
      </c>
    </row>
    <row r="45" spans="1:20" ht="15" customHeight="1" x14ac:dyDescent="0.2">
      <c r="A45" s="71" t="s">
        <v>53</v>
      </c>
      <c r="B45" s="71" t="s">
        <v>26</v>
      </c>
      <c r="C45" s="72">
        <v>4.1145833333333333E-2</v>
      </c>
      <c r="D45" s="35">
        <v>84</v>
      </c>
      <c r="E45" s="23"/>
      <c r="F45" s="27"/>
      <c r="G45" s="5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51"/>
      <c r="S45" s="51"/>
      <c r="T45" s="19">
        <f t="shared" si="1"/>
        <v>84</v>
      </c>
    </row>
    <row r="46" spans="1:20" ht="15" customHeight="1" x14ac:dyDescent="0.2">
      <c r="A46" s="71" t="s">
        <v>54</v>
      </c>
      <c r="B46" s="71" t="s">
        <v>59</v>
      </c>
      <c r="C46" s="72">
        <v>4.2430555555555555E-2</v>
      </c>
      <c r="D46" s="35">
        <v>83</v>
      </c>
      <c r="E46" s="23"/>
      <c r="F46" s="27"/>
      <c r="G46" s="23"/>
      <c r="H46" s="23"/>
      <c r="I46" s="23"/>
      <c r="J46" s="23"/>
      <c r="K46" s="23"/>
      <c r="L46" s="23"/>
      <c r="M46" s="23"/>
      <c r="N46" s="23"/>
      <c r="O46" s="23"/>
      <c r="P46" s="57"/>
      <c r="Q46" s="23"/>
      <c r="R46" s="51"/>
      <c r="S46" s="51"/>
      <c r="T46" s="19">
        <f t="shared" si="1"/>
        <v>83</v>
      </c>
    </row>
    <row r="47" spans="1:20" ht="15" customHeight="1" x14ac:dyDescent="0.2">
      <c r="A47" s="71" t="s">
        <v>55</v>
      </c>
      <c r="B47" s="71" t="s">
        <v>59</v>
      </c>
      <c r="C47" s="72">
        <v>4.2557870370370371E-2</v>
      </c>
      <c r="D47" s="35">
        <v>82</v>
      </c>
      <c r="E47" s="23"/>
      <c r="F47" s="27"/>
      <c r="G47" s="5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51"/>
      <c r="S47" s="51"/>
      <c r="T47" s="19">
        <f t="shared" si="1"/>
        <v>82</v>
      </c>
    </row>
    <row r="48" spans="1:20" ht="15" customHeight="1" x14ac:dyDescent="0.2">
      <c r="A48" s="71" t="s">
        <v>56</v>
      </c>
      <c r="B48" s="71" t="s">
        <v>28</v>
      </c>
      <c r="C48" s="72">
        <v>5.3715277777777772E-2</v>
      </c>
      <c r="D48" s="27">
        <v>66</v>
      </c>
      <c r="E48" s="23"/>
      <c r="F48" s="27"/>
      <c r="G48" s="5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51"/>
      <c r="S48" s="51"/>
      <c r="T48" s="19">
        <f t="shared" si="1"/>
        <v>66</v>
      </c>
    </row>
    <row r="49" spans="1:20" ht="15" customHeight="1" x14ac:dyDescent="0.2">
      <c r="A49" s="71" t="s">
        <v>57</v>
      </c>
      <c r="B49" s="71" t="s">
        <v>28</v>
      </c>
      <c r="C49" s="71" t="s">
        <v>36</v>
      </c>
      <c r="D49" s="23"/>
      <c r="E49" s="23"/>
      <c r="F49" s="25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51"/>
      <c r="S49" s="51"/>
      <c r="T49" s="19">
        <f t="shared" si="1"/>
        <v>0</v>
      </c>
    </row>
    <row r="50" spans="1:20" ht="15" customHeight="1" x14ac:dyDescent="0.2">
      <c r="A50" s="71" t="s">
        <v>58</v>
      </c>
      <c r="B50" s="71" t="s">
        <v>59</v>
      </c>
      <c r="C50" s="71" t="s">
        <v>36</v>
      </c>
      <c r="D50" s="58"/>
      <c r="E50" s="58"/>
      <c r="F50" s="58"/>
      <c r="G50" s="58"/>
      <c r="H50" s="58"/>
      <c r="I50" s="23"/>
      <c r="J50" s="23"/>
      <c r="K50" s="58"/>
      <c r="L50" s="58"/>
      <c r="M50" s="58"/>
      <c r="N50" s="58"/>
      <c r="O50" s="57"/>
      <c r="P50" s="57"/>
      <c r="Q50" s="58"/>
      <c r="R50" s="60"/>
      <c r="S50" s="58"/>
      <c r="T50" s="19">
        <f t="shared" si="1"/>
        <v>0</v>
      </c>
    </row>
    <row r="51" spans="1:20" ht="15" customHeight="1" x14ac:dyDescent="0.2">
      <c r="A51" s="58"/>
      <c r="B51" s="58"/>
      <c r="C51" s="58"/>
      <c r="D51" s="58"/>
      <c r="E51" s="58"/>
      <c r="F51" s="58"/>
      <c r="G51" s="58"/>
      <c r="H51" s="58"/>
      <c r="I51" s="23"/>
      <c r="J51" s="23"/>
      <c r="K51" s="58"/>
      <c r="L51" s="58"/>
      <c r="M51" s="58"/>
      <c r="N51" s="58"/>
      <c r="O51" s="58"/>
      <c r="P51" s="58"/>
      <c r="Q51" s="58"/>
      <c r="R51" s="60"/>
      <c r="S51" s="58"/>
      <c r="T51" s="19">
        <f t="shared" si="1"/>
        <v>0</v>
      </c>
    </row>
    <row r="52" spans="1:20" ht="15" customHeight="1" x14ac:dyDescent="0.2">
      <c r="A52" s="56"/>
      <c r="B52" s="56"/>
      <c r="C52" s="27"/>
      <c r="D52" s="35"/>
      <c r="E52" s="23"/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1"/>
      <c r="S52" s="51"/>
      <c r="T52" s="19">
        <f t="shared" si="1"/>
        <v>0</v>
      </c>
    </row>
    <row r="53" spans="1:20" ht="15" customHeight="1" x14ac:dyDescent="0.2">
      <c r="A53" s="56"/>
      <c r="B53" s="56"/>
      <c r="C53" s="27"/>
      <c r="D53" s="35"/>
      <c r="E53" s="23"/>
      <c r="F53" s="27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1"/>
      <c r="S53" s="51"/>
      <c r="T53" s="19">
        <f t="shared" si="1"/>
        <v>0</v>
      </c>
    </row>
    <row r="54" spans="1:20" ht="15" customHeight="1" x14ac:dyDescent="0.2">
      <c r="A54" s="56"/>
      <c r="B54" s="56"/>
      <c r="C54" s="27"/>
      <c r="D54" s="27"/>
      <c r="E54" s="23"/>
      <c r="F54" s="27"/>
      <c r="G54" s="23"/>
      <c r="H54" s="23"/>
      <c r="I54" s="23"/>
      <c r="J54" s="23"/>
      <c r="K54" s="23"/>
      <c r="L54" s="23"/>
      <c r="M54" s="23"/>
      <c r="N54" s="23"/>
      <c r="O54" s="54"/>
      <c r="P54" s="57"/>
      <c r="Q54" s="23"/>
      <c r="R54" s="51"/>
      <c r="S54" s="51"/>
      <c r="T54" s="19">
        <f t="shared" si="1"/>
        <v>0</v>
      </c>
    </row>
    <row r="55" spans="1:20" ht="15" customHeight="1" x14ac:dyDescent="0.2">
      <c r="A55" s="58"/>
      <c r="B55" s="58"/>
      <c r="C55" s="58"/>
      <c r="D55" s="58"/>
      <c r="E55" s="58"/>
      <c r="F55" s="58"/>
      <c r="G55" s="58"/>
      <c r="H55" s="58"/>
      <c r="I55" s="23"/>
      <c r="J55" s="23"/>
      <c r="K55" s="58"/>
      <c r="L55" s="58"/>
      <c r="M55" s="23"/>
      <c r="N55" s="58"/>
      <c r="O55" s="58"/>
      <c r="P55" s="58"/>
      <c r="Q55" s="58"/>
      <c r="R55" s="60"/>
      <c r="S55" s="58"/>
      <c r="T55" s="19">
        <f t="shared" si="1"/>
        <v>0</v>
      </c>
    </row>
    <row r="56" spans="1:20" ht="15" customHeight="1" x14ac:dyDescent="0.2">
      <c r="A56" s="56"/>
      <c r="B56" s="56"/>
      <c r="C56" s="27"/>
      <c r="D56" s="27"/>
      <c r="E56" s="23"/>
      <c r="F56" s="27"/>
      <c r="G56" s="53"/>
      <c r="H56" s="23"/>
      <c r="I56" s="25"/>
      <c r="J56" s="23"/>
      <c r="K56" s="23"/>
      <c r="L56" s="23"/>
      <c r="M56" s="23"/>
      <c r="N56" s="23"/>
      <c r="O56" s="54"/>
      <c r="P56" s="54"/>
      <c r="Q56" s="23"/>
      <c r="R56" s="51"/>
      <c r="S56" s="51"/>
      <c r="T56" s="19">
        <f t="shared" si="1"/>
        <v>0</v>
      </c>
    </row>
    <row r="57" spans="1:20" ht="15" customHeight="1" x14ac:dyDescent="0.2">
      <c r="A57" s="58"/>
      <c r="B57" s="58"/>
      <c r="C57" s="58"/>
      <c r="D57" s="58"/>
      <c r="E57" s="58"/>
      <c r="F57" s="58"/>
      <c r="G57" s="58"/>
      <c r="H57" s="58"/>
      <c r="I57" s="23"/>
      <c r="J57" s="23"/>
      <c r="K57" s="58"/>
      <c r="L57" s="58"/>
      <c r="M57" s="58"/>
      <c r="N57" s="58"/>
      <c r="O57" s="57"/>
      <c r="P57" s="57"/>
      <c r="Q57" s="58"/>
      <c r="R57" s="60"/>
      <c r="S57" s="58"/>
      <c r="T57" s="19">
        <f t="shared" si="1"/>
        <v>0</v>
      </c>
    </row>
    <row r="58" spans="1:20" ht="15" customHeight="1" x14ac:dyDescent="0.2">
      <c r="A58" s="58"/>
      <c r="B58" s="58"/>
      <c r="C58" s="58"/>
      <c r="D58" s="58"/>
      <c r="E58" s="58"/>
      <c r="F58" s="58"/>
      <c r="G58" s="58"/>
      <c r="H58" s="58"/>
      <c r="I58" s="23"/>
      <c r="J58" s="23"/>
      <c r="K58" s="58"/>
      <c r="L58" s="58"/>
      <c r="M58" s="58"/>
      <c r="N58" s="58"/>
      <c r="O58" s="57"/>
      <c r="P58" s="57"/>
      <c r="Q58" s="58"/>
      <c r="R58" s="51"/>
      <c r="S58" s="58"/>
      <c r="T58" s="19"/>
    </row>
    <row r="59" spans="1:20" ht="15" customHeight="1" x14ac:dyDescent="0.2">
      <c r="A59" s="58"/>
      <c r="B59" s="58"/>
      <c r="C59" s="58"/>
      <c r="D59" s="58"/>
      <c r="E59" s="58"/>
      <c r="F59" s="58"/>
      <c r="G59" s="58"/>
      <c r="H59" s="58"/>
      <c r="I59" s="23"/>
      <c r="J59" s="23"/>
      <c r="K59" s="58"/>
      <c r="L59" s="58"/>
      <c r="M59" s="23"/>
      <c r="N59" s="58"/>
      <c r="O59" s="58"/>
      <c r="P59" s="58"/>
      <c r="Q59" s="58"/>
      <c r="R59" s="60"/>
      <c r="S59" s="58"/>
      <c r="T59" s="19">
        <f t="shared" si="1"/>
        <v>0</v>
      </c>
    </row>
    <row r="60" spans="1:20" ht="15" customHeight="1" x14ac:dyDescent="0.2">
      <c r="A60" s="56"/>
      <c r="B60" s="56"/>
      <c r="C60" s="27"/>
      <c r="D60" s="27"/>
      <c r="E60" s="23"/>
      <c r="F60" s="27"/>
      <c r="G60" s="53"/>
      <c r="H60" s="23"/>
      <c r="I60" s="23"/>
      <c r="J60" s="23"/>
      <c r="K60" s="23"/>
      <c r="L60" s="23"/>
      <c r="M60" s="23"/>
      <c r="N60" s="23"/>
      <c r="O60" s="54"/>
      <c r="P60" s="54"/>
      <c r="Q60" s="23"/>
      <c r="R60" s="51"/>
      <c r="S60" s="51"/>
      <c r="T60" s="19">
        <f t="shared" si="1"/>
        <v>0</v>
      </c>
    </row>
    <row r="61" spans="1:20" ht="15" customHeight="1" x14ac:dyDescent="0.2">
      <c r="A61" s="58"/>
      <c r="B61" s="58"/>
      <c r="C61" s="58"/>
      <c r="D61" s="58"/>
      <c r="E61" s="58"/>
      <c r="F61" s="58"/>
      <c r="G61" s="58"/>
      <c r="H61" s="58"/>
      <c r="I61" s="23"/>
      <c r="J61" s="23"/>
      <c r="K61" s="58"/>
      <c r="L61" s="58"/>
      <c r="M61" s="58"/>
      <c r="N61" s="58"/>
      <c r="O61" s="57"/>
      <c r="P61" s="57"/>
      <c r="Q61" s="58"/>
      <c r="R61" s="60"/>
      <c r="S61" s="58"/>
      <c r="T61" s="19">
        <f t="shared" si="1"/>
        <v>0</v>
      </c>
    </row>
    <row r="62" spans="1:20" ht="15" customHeight="1" x14ac:dyDescent="0.2">
      <c r="A62" s="56"/>
      <c r="B62" s="56"/>
      <c r="C62" s="27"/>
      <c r="D62" s="35"/>
      <c r="E62" s="23"/>
      <c r="F62" s="27"/>
      <c r="G62" s="23"/>
      <c r="H62" s="23"/>
      <c r="I62" s="23"/>
      <c r="J62" s="23"/>
      <c r="K62" s="23"/>
      <c r="L62" s="23"/>
      <c r="M62" s="23"/>
      <c r="N62" s="23"/>
      <c r="O62" s="54"/>
      <c r="P62" s="54"/>
      <c r="Q62" s="23"/>
      <c r="R62" s="51"/>
      <c r="S62" s="51"/>
      <c r="T62" s="19">
        <f t="shared" si="1"/>
        <v>0</v>
      </c>
    </row>
    <row r="63" spans="1:20" ht="15" customHeight="1" x14ac:dyDescent="0.2">
      <c r="A63" s="56"/>
      <c r="B63" s="56"/>
      <c r="C63" s="27"/>
      <c r="D63" s="27"/>
      <c r="E63" s="23"/>
      <c r="F63" s="27"/>
      <c r="G63" s="53"/>
      <c r="H63" s="23"/>
      <c r="I63" s="23"/>
      <c r="J63" s="23"/>
      <c r="K63" s="23"/>
      <c r="L63" s="23"/>
      <c r="M63" s="23"/>
      <c r="N63" s="23"/>
      <c r="O63" s="54"/>
      <c r="P63" s="54"/>
      <c r="Q63" s="23"/>
      <c r="R63" s="51"/>
      <c r="S63" s="51"/>
      <c r="T63" s="19">
        <f t="shared" si="1"/>
        <v>0</v>
      </c>
    </row>
    <row r="64" spans="1:20" ht="15" customHeight="1" x14ac:dyDescent="0.2">
      <c r="A64" s="58"/>
      <c r="B64" s="58"/>
      <c r="C64" s="58"/>
      <c r="D64" s="58"/>
      <c r="E64" s="58"/>
      <c r="F64" s="58"/>
      <c r="G64" s="58"/>
      <c r="H64" s="58"/>
      <c r="I64" s="54"/>
      <c r="J64" s="54"/>
      <c r="K64" s="58"/>
      <c r="L64" s="58"/>
      <c r="M64" s="58"/>
      <c r="N64" s="58"/>
      <c r="O64" s="57"/>
      <c r="P64" s="57"/>
      <c r="Q64" s="58"/>
      <c r="R64" s="60"/>
      <c r="S64" s="58"/>
      <c r="T64" s="19">
        <f t="shared" si="1"/>
        <v>0</v>
      </c>
    </row>
    <row r="65" spans="1:20" ht="15" customHeight="1" x14ac:dyDescent="0.2">
      <c r="A65" s="58"/>
      <c r="B65" s="58"/>
      <c r="C65" s="58"/>
      <c r="D65" s="58"/>
      <c r="E65" s="58"/>
      <c r="F65" s="58"/>
      <c r="G65" s="58"/>
      <c r="H65" s="58"/>
      <c r="I65" s="54"/>
      <c r="J65" s="54"/>
      <c r="K65" s="58"/>
      <c r="L65" s="58"/>
      <c r="M65" s="58"/>
      <c r="N65" s="58"/>
      <c r="O65" s="57"/>
      <c r="P65" s="57"/>
      <c r="Q65" s="58"/>
      <c r="R65" s="51"/>
      <c r="S65" s="58"/>
      <c r="T65" s="19"/>
    </row>
    <row r="66" spans="1:20" ht="15" customHeight="1" x14ac:dyDescent="0.2">
      <c r="A66" s="56"/>
      <c r="B66" s="56"/>
      <c r="C66" s="27"/>
      <c r="D66" s="35"/>
      <c r="E66" s="23"/>
      <c r="F66" s="27"/>
      <c r="G66" s="23"/>
      <c r="H66" s="23"/>
      <c r="I66" s="23"/>
      <c r="J66" s="23"/>
      <c r="K66" s="23"/>
      <c r="L66" s="23"/>
      <c r="M66" s="23"/>
      <c r="N66" s="23"/>
      <c r="O66" s="54"/>
      <c r="P66" s="54"/>
      <c r="Q66" s="23"/>
      <c r="R66" s="51"/>
      <c r="S66" s="51"/>
      <c r="T66" s="19">
        <f t="shared" si="1"/>
        <v>0</v>
      </c>
    </row>
    <row r="67" spans="1:20" ht="15" customHeight="1" x14ac:dyDescent="0.2">
      <c r="A67" s="56"/>
      <c r="B67" s="56"/>
      <c r="C67" s="27"/>
      <c r="D67" s="35"/>
      <c r="E67" s="23"/>
      <c r="F67" s="27"/>
      <c r="G67" s="23"/>
      <c r="H67" s="23"/>
      <c r="I67" s="23"/>
      <c r="J67" s="23"/>
      <c r="K67" s="23"/>
      <c r="L67" s="23"/>
      <c r="M67" s="23"/>
      <c r="N67" s="23"/>
      <c r="O67" s="54"/>
      <c r="P67" s="54"/>
      <c r="Q67" s="23"/>
      <c r="R67" s="51"/>
      <c r="S67" s="51"/>
      <c r="T67" s="19"/>
    </row>
    <row r="68" spans="1:20" ht="15" customHeight="1" x14ac:dyDescent="0.2">
      <c r="A68" s="58"/>
      <c r="B68" s="58"/>
      <c r="C68" s="58"/>
      <c r="D68" s="58"/>
      <c r="E68" s="58"/>
      <c r="F68" s="58"/>
      <c r="G68" s="58"/>
      <c r="H68" s="58"/>
      <c r="I68" s="23"/>
      <c r="J68" s="23"/>
      <c r="K68" s="58"/>
      <c r="L68" s="58"/>
      <c r="M68" s="23"/>
      <c r="N68" s="58"/>
      <c r="O68" s="57"/>
      <c r="P68" s="57"/>
      <c r="Q68" s="58"/>
      <c r="R68" s="60"/>
      <c r="S68" s="58"/>
      <c r="T68" s="19">
        <f t="shared" si="1"/>
        <v>0</v>
      </c>
    </row>
    <row r="69" spans="1:20" ht="15" customHeight="1" x14ac:dyDescent="0.2">
      <c r="A69" s="56"/>
      <c r="B69" s="56"/>
      <c r="C69" s="27"/>
      <c r="D69" s="27"/>
      <c r="E69" s="23"/>
      <c r="F69" s="27"/>
      <c r="G69" s="53"/>
      <c r="H69" s="23"/>
      <c r="I69" s="23"/>
      <c r="J69" s="23"/>
      <c r="K69" s="23"/>
      <c r="L69" s="23"/>
      <c r="M69" s="23"/>
      <c r="N69" s="23"/>
      <c r="O69" s="54"/>
      <c r="P69" s="54"/>
      <c r="Q69" s="23"/>
      <c r="R69" s="51"/>
      <c r="S69" s="51"/>
      <c r="T69" s="19">
        <f t="shared" si="1"/>
        <v>0</v>
      </c>
    </row>
    <row r="70" spans="1:20" ht="15" customHeight="1" x14ac:dyDescent="0.2">
      <c r="A70" s="58"/>
      <c r="B70" s="58"/>
      <c r="C70" s="58"/>
      <c r="D70" s="58"/>
      <c r="E70" s="58"/>
      <c r="F70" s="58"/>
      <c r="G70" s="58"/>
      <c r="H70" s="58"/>
      <c r="I70" s="23"/>
      <c r="J70" s="23"/>
      <c r="K70" s="58"/>
      <c r="L70" s="58"/>
      <c r="M70" s="58"/>
      <c r="N70" s="58"/>
      <c r="O70" s="57"/>
      <c r="P70" s="57"/>
      <c r="Q70" s="58"/>
      <c r="R70" s="60"/>
      <c r="S70" s="58"/>
      <c r="T70" s="19">
        <f t="shared" si="1"/>
        <v>0</v>
      </c>
    </row>
    <row r="71" spans="1:20" ht="15" customHeight="1" x14ac:dyDescent="0.2">
      <c r="A71" s="58"/>
      <c r="B71" s="58"/>
      <c r="C71" s="58"/>
      <c r="D71" s="58"/>
      <c r="E71" s="58"/>
      <c r="F71" s="58"/>
      <c r="G71" s="58"/>
      <c r="H71" s="58"/>
      <c r="I71" s="23"/>
      <c r="J71" s="23"/>
      <c r="K71" s="58"/>
      <c r="L71" s="58"/>
      <c r="M71" s="58"/>
      <c r="N71" s="58"/>
      <c r="O71" s="57"/>
      <c r="P71" s="57"/>
      <c r="Q71" s="58"/>
      <c r="R71" s="60"/>
      <c r="S71" s="58"/>
      <c r="T71" s="19">
        <f t="shared" si="1"/>
        <v>0</v>
      </c>
    </row>
    <row r="72" spans="1:20" ht="15" customHeight="1" x14ac:dyDescent="0.2">
      <c r="A72" s="58"/>
      <c r="B72" s="58"/>
      <c r="C72" s="58"/>
      <c r="D72" s="58"/>
      <c r="E72" s="58"/>
      <c r="F72" s="58"/>
      <c r="G72" s="58"/>
      <c r="H72" s="58"/>
      <c r="I72" s="23"/>
      <c r="J72" s="23"/>
      <c r="K72" s="58"/>
      <c r="L72" s="58"/>
      <c r="M72" s="58"/>
      <c r="N72" s="58"/>
      <c r="O72" s="57"/>
      <c r="P72" s="57"/>
      <c r="Q72" s="58"/>
      <c r="R72" s="60"/>
      <c r="S72" s="58"/>
      <c r="T72" s="19">
        <f t="shared" si="1"/>
        <v>0</v>
      </c>
    </row>
    <row r="73" spans="1:20" ht="15" customHeight="1" x14ac:dyDescent="0.2">
      <c r="A73" s="58"/>
      <c r="B73" s="58"/>
      <c r="C73" s="58"/>
      <c r="D73" s="58"/>
      <c r="E73" s="58"/>
      <c r="F73" s="58"/>
      <c r="G73" s="58"/>
      <c r="H73" s="58"/>
      <c r="I73" s="23"/>
      <c r="J73" s="23"/>
      <c r="K73" s="58"/>
      <c r="L73" s="58"/>
      <c r="M73" s="23"/>
      <c r="N73" s="58"/>
      <c r="O73" s="57"/>
      <c r="P73" s="57"/>
      <c r="Q73" s="58"/>
      <c r="R73" s="60"/>
      <c r="S73" s="58"/>
      <c r="T73" s="19">
        <f t="shared" si="1"/>
        <v>0</v>
      </c>
    </row>
    <row r="74" spans="1:20" ht="15" customHeight="1" x14ac:dyDescent="0.2">
      <c r="A74" s="58"/>
      <c r="B74" s="58"/>
      <c r="C74" s="58"/>
      <c r="D74" s="58"/>
      <c r="E74" s="58"/>
      <c r="F74" s="58"/>
      <c r="G74" s="58"/>
      <c r="H74" s="58"/>
      <c r="I74" s="23"/>
      <c r="J74" s="23"/>
      <c r="K74" s="58"/>
      <c r="L74" s="58"/>
      <c r="M74" s="58"/>
      <c r="N74" s="58"/>
      <c r="O74" s="57"/>
      <c r="P74" s="57"/>
      <c r="Q74" s="58"/>
      <c r="R74" s="60"/>
      <c r="S74" s="58"/>
      <c r="T74" s="19">
        <f t="shared" si="1"/>
        <v>0</v>
      </c>
    </row>
    <row r="75" spans="1:20" ht="15" customHeight="1" x14ac:dyDescent="0.2">
      <c r="A75" s="56"/>
      <c r="B75" s="56"/>
      <c r="C75" s="27"/>
      <c r="D75" s="27"/>
      <c r="E75" s="23"/>
      <c r="F75" s="27"/>
      <c r="G75" s="23"/>
      <c r="H75" s="23"/>
      <c r="I75" s="23"/>
      <c r="J75" s="23"/>
      <c r="K75" s="23"/>
      <c r="L75" s="23"/>
      <c r="M75" s="23"/>
      <c r="N75" s="23"/>
      <c r="O75" s="54"/>
      <c r="P75" s="54"/>
      <c r="Q75" s="23"/>
      <c r="R75" s="51"/>
      <c r="S75" s="51"/>
      <c r="T75" s="19">
        <f t="shared" si="1"/>
        <v>0</v>
      </c>
    </row>
    <row r="76" spans="1:20" ht="15" customHeight="1" x14ac:dyDescent="0.2">
      <c r="A76" s="58"/>
      <c r="B76" s="58"/>
      <c r="C76" s="58"/>
      <c r="D76" s="58"/>
      <c r="E76" s="58"/>
      <c r="F76" s="58"/>
      <c r="G76" s="58"/>
      <c r="H76" s="58"/>
      <c r="I76" s="23"/>
      <c r="J76" s="23"/>
      <c r="K76" s="58"/>
      <c r="L76" s="58"/>
      <c r="M76" s="58"/>
      <c r="N76" s="58"/>
      <c r="O76" s="57"/>
      <c r="P76" s="57"/>
      <c r="Q76" s="58"/>
      <c r="R76" s="60"/>
      <c r="S76" s="58"/>
      <c r="T76" s="19">
        <f t="shared" si="1"/>
        <v>0</v>
      </c>
    </row>
    <row r="77" spans="1:20" ht="15" customHeight="1" x14ac:dyDescent="0.2">
      <c r="A77" s="58"/>
      <c r="B77" s="58"/>
      <c r="C77" s="58"/>
      <c r="D77" s="58"/>
      <c r="E77" s="58"/>
      <c r="F77" s="58"/>
      <c r="G77" s="58"/>
      <c r="H77" s="58"/>
      <c r="I77" s="23"/>
      <c r="J77" s="23"/>
      <c r="K77" s="58"/>
      <c r="L77" s="58"/>
      <c r="M77" s="58"/>
      <c r="N77" s="58"/>
      <c r="O77" s="57"/>
      <c r="P77" s="57"/>
      <c r="Q77" s="58"/>
      <c r="R77" s="60"/>
      <c r="S77" s="58"/>
      <c r="T77" s="19">
        <f t="shared" si="1"/>
        <v>0</v>
      </c>
    </row>
    <row r="78" spans="1:20" ht="15" customHeight="1" x14ac:dyDescent="0.2">
      <c r="A78" s="58"/>
      <c r="B78" s="58"/>
      <c r="C78" s="58"/>
      <c r="D78" s="58"/>
      <c r="E78" s="58"/>
      <c r="F78" s="58"/>
      <c r="G78" s="58"/>
      <c r="H78" s="58"/>
      <c r="I78" s="23"/>
      <c r="J78" s="23"/>
      <c r="K78" s="58"/>
      <c r="L78" s="58"/>
      <c r="M78" s="58"/>
      <c r="N78" s="58"/>
      <c r="O78" s="57"/>
      <c r="P78" s="57"/>
      <c r="Q78" s="58"/>
      <c r="R78" s="60"/>
      <c r="S78" s="58"/>
      <c r="T78" s="19">
        <f t="shared" si="1"/>
        <v>0</v>
      </c>
    </row>
    <row r="79" spans="1:20" ht="15" customHeight="1" x14ac:dyDescent="0.2">
      <c r="A79" s="42"/>
      <c r="B79" s="42"/>
      <c r="C79" s="42"/>
      <c r="D79" s="42"/>
      <c r="E79" s="44"/>
      <c r="F79" s="42"/>
      <c r="G79" s="42"/>
      <c r="H79" s="44"/>
      <c r="I79" s="3"/>
      <c r="J79" s="3"/>
      <c r="K79" s="44"/>
      <c r="L79" s="42"/>
      <c r="M79" s="42"/>
      <c r="N79" s="44"/>
      <c r="O79" s="42"/>
      <c r="P79" s="42"/>
      <c r="Q79" s="44"/>
      <c r="R79" s="43"/>
      <c r="S79" s="42"/>
      <c r="T79" s="19"/>
    </row>
    <row r="81" spans="20:20" ht="15" customHeight="1" x14ac:dyDescent="0.2">
      <c r="T81" s="1"/>
    </row>
    <row r="82" spans="20:20" ht="15" customHeight="1" x14ac:dyDescent="0.2">
      <c r="T82" s="1"/>
    </row>
    <row r="83" spans="20:20" ht="15" customHeight="1" x14ac:dyDescent="0.2">
      <c r="T83" s="1"/>
    </row>
    <row r="84" spans="20:20" ht="15" customHeight="1" x14ac:dyDescent="0.2">
      <c r="T84" s="1"/>
    </row>
    <row r="85" spans="20:20" ht="15" customHeight="1" x14ac:dyDescent="0.2">
      <c r="T85" s="1"/>
    </row>
    <row r="86" spans="20:20" ht="15" customHeight="1" x14ac:dyDescent="0.2">
      <c r="T86" s="1"/>
    </row>
    <row r="87" spans="20:20" ht="15" customHeight="1" x14ac:dyDescent="0.2">
      <c r="T87" s="1"/>
    </row>
    <row r="88" spans="20:20" ht="15" customHeight="1" x14ac:dyDescent="0.2">
      <c r="T88" s="1"/>
    </row>
    <row r="89" spans="20:20" ht="15" customHeight="1" x14ac:dyDescent="0.2">
      <c r="T89" s="1"/>
    </row>
    <row r="90" spans="20:20" ht="15" customHeight="1" x14ac:dyDescent="0.2">
      <c r="T90" s="1"/>
    </row>
    <row r="91" spans="20:20" ht="15" customHeight="1" x14ac:dyDescent="0.2">
      <c r="T91" s="1"/>
    </row>
    <row r="92" spans="20:20" ht="15" customHeight="1" x14ac:dyDescent="0.2">
      <c r="T92" s="1"/>
    </row>
    <row r="93" spans="20:20" ht="15" customHeight="1" x14ac:dyDescent="0.2">
      <c r="T93" s="1"/>
    </row>
    <row r="94" spans="20:20" ht="15" customHeight="1" x14ac:dyDescent="0.2">
      <c r="T94" s="1"/>
    </row>
    <row r="95" spans="20:20" ht="15" customHeight="1" x14ac:dyDescent="0.2">
      <c r="T95" s="1"/>
    </row>
    <row r="96" spans="20:20" ht="15" customHeight="1" x14ac:dyDescent="0.2">
      <c r="T96" s="1"/>
    </row>
    <row r="97" spans="20:20" ht="15" customHeight="1" x14ac:dyDescent="0.2">
      <c r="T97" s="1"/>
    </row>
    <row r="98" spans="20:20" ht="15" customHeight="1" x14ac:dyDescent="0.2">
      <c r="T98" s="1"/>
    </row>
    <row r="99" spans="20:20" ht="15" customHeight="1" x14ac:dyDescent="0.2">
      <c r="T99" s="1"/>
    </row>
    <row r="100" spans="20:20" ht="15" customHeight="1" x14ac:dyDescent="0.2">
      <c r="T100" s="1"/>
    </row>
    <row r="101" spans="20:20" ht="15" customHeight="1" x14ac:dyDescent="0.2">
      <c r="T101" s="1"/>
    </row>
    <row r="102" spans="20:20" ht="15" customHeight="1" x14ac:dyDescent="0.2">
      <c r="T102" s="1"/>
    </row>
    <row r="103" spans="20:20" ht="15" customHeight="1" x14ac:dyDescent="0.2">
      <c r="T103" s="1"/>
    </row>
    <row r="104" spans="20:20" ht="15" customHeight="1" x14ac:dyDescent="0.2">
      <c r="T104" s="1"/>
    </row>
    <row r="105" spans="20:20" ht="15" customHeight="1" x14ac:dyDescent="0.2">
      <c r="T105" s="1"/>
    </row>
    <row r="106" spans="20:20" ht="15" customHeight="1" x14ac:dyDescent="0.2">
      <c r="T106" s="1"/>
    </row>
    <row r="107" spans="20:20" ht="15" customHeight="1" x14ac:dyDescent="0.2">
      <c r="T107" s="1"/>
    </row>
    <row r="108" spans="20:20" ht="15" customHeight="1" x14ac:dyDescent="0.2">
      <c r="T108" s="1"/>
    </row>
    <row r="109" spans="20:20" ht="15" customHeight="1" x14ac:dyDescent="0.2">
      <c r="T109" s="1"/>
    </row>
    <row r="110" spans="20:20" ht="15" customHeight="1" x14ac:dyDescent="0.2">
      <c r="T110" s="1"/>
    </row>
    <row r="111" spans="20:20" ht="15" customHeight="1" x14ac:dyDescent="0.2">
      <c r="T111" s="1"/>
    </row>
    <row r="112" spans="20:20" ht="15" customHeight="1" x14ac:dyDescent="0.2">
      <c r="T112" s="1"/>
    </row>
    <row r="113" spans="20:20" ht="15" customHeight="1" x14ac:dyDescent="0.2">
      <c r="T113" s="1"/>
    </row>
    <row r="114" spans="20:20" ht="15" customHeight="1" x14ac:dyDescent="0.2">
      <c r="T114" s="1"/>
    </row>
    <row r="115" spans="20:20" ht="15" customHeight="1" x14ac:dyDescent="0.2">
      <c r="T115" s="1"/>
    </row>
    <row r="116" spans="20:20" ht="15" customHeight="1" x14ac:dyDescent="0.2">
      <c r="T116" s="1"/>
    </row>
    <row r="117" spans="20:20" ht="15" customHeight="1" x14ac:dyDescent="0.2">
      <c r="T117" s="1"/>
    </row>
    <row r="118" spans="20:20" ht="15" customHeight="1" x14ac:dyDescent="0.2">
      <c r="T118" s="1"/>
    </row>
    <row r="119" spans="20:20" ht="15" customHeight="1" x14ac:dyDescent="0.2">
      <c r="T119" s="1"/>
    </row>
    <row r="120" spans="20:20" ht="15" customHeight="1" x14ac:dyDescent="0.2">
      <c r="T120" s="1"/>
    </row>
    <row r="121" spans="20:20" ht="15" customHeight="1" x14ac:dyDescent="0.2">
      <c r="T121" s="1"/>
    </row>
    <row r="122" spans="20:20" ht="15" customHeight="1" x14ac:dyDescent="0.2">
      <c r="T122" s="1"/>
    </row>
    <row r="123" spans="20:20" ht="15" customHeight="1" x14ac:dyDescent="0.2">
      <c r="T123" s="1"/>
    </row>
    <row r="124" spans="20:20" ht="15" customHeight="1" x14ac:dyDescent="0.2">
      <c r="T124" s="1"/>
    </row>
    <row r="125" spans="20:20" ht="15" customHeight="1" x14ac:dyDescent="0.2">
      <c r="T125" s="1"/>
    </row>
    <row r="126" spans="20:20" ht="15" customHeight="1" x14ac:dyDescent="0.2">
      <c r="T126" s="1"/>
    </row>
    <row r="127" spans="20:20" ht="15" customHeight="1" x14ac:dyDescent="0.2">
      <c r="T127" s="1"/>
    </row>
    <row r="128" spans="20:20" ht="15" customHeight="1" x14ac:dyDescent="0.2">
      <c r="T128" s="1"/>
    </row>
    <row r="129" spans="20:20" ht="15" customHeight="1" x14ac:dyDescent="0.2">
      <c r="T129" s="1"/>
    </row>
    <row r="130" spans="20:20" ht="15" customHeight="1" x14ac:dyDescent="0.2">
      <c r="T130" s="1"/>
    </row>
    <row r="131" spans="20:20" ht="15" customHeight="1" x14ac:dyDescent="0.2">
      <c r="T131" s="1"/>
    </row>
    <row r="132" spans="20:20" ht="15" customHeight="1" x14ac:dyDescent="0.2">
      <c r="T132" s="1"/>
    </row>
    <row r="133" spans="20:20" ht="15" customHeight="1" x14ac:dyDescent="0.2">
      <c r="T133" s="1"/>
    </row>
    <row r="134" spans="20:20" ht="15" customHeight="1" x14ac:dyDescent="0.2">
      <c r="T134" s="1"/>
    </row>
    <row r="135" spans="20:20" ht="15" customHeight="1" x14ac:dyDescent="0.2">
      <c r="T135" s="1"/>
    </row>
    <row r="136" spans="20:20" ht="15" customHeight="1" x14ac:dyDescent="0.2">
      <c r="T136" s="1"/>
    </row>
    <row r="137" spans="20:20" ht="15" customHeight="1" x14ac:dyDescent="0.2">
      <c r="T137" s="1"/>
    </row>
    <row r="138" spans="20:20" ht="15" customHeight="1" x14ac:dyDescent="0.2">
      <c r="T138" s="1"/>
    </row>
    <row r="139" spans="20:20" ht="15" customHeight="1" x14ac:dyDescent="0.2">
      <c r="T139" s="1"/>
    </row>
    <row r="140" spans="20:20" ht="15" customHeight="1" x14ac:dyDescent="0.2">
      <c r="T140" s="1"/>
    </row>
    <row r="141" spans="20:20" ht="15" customHeight="1" x14ac:dyDescent="0.2">
      <c r="T141" s="1"/>
    </row>
    <row r="142" spans="20:20" ht="15" customHeight="1" x14ac:dyDescent="0.2">
      <c r="T142" s="1"/>
    </row>
    <row r="143" spans="20:20" ht="15" customHeight="1" x14ac:dyDescent="0.2">
      <c r="T143" s="1"/>
    </row>
    <row r="144" spans="20:20" ht="15" customHeight="1" x14ac:dyDescent="0.2">
      <c r="T144" s="1"/>
    </row>
    <row r="145" spans="20:20" ht="15" customHeight="1" x14ac:dyDescent="0.2">
      <c r="T145" s="1"/>
    </row>
    <row r="146" spans="20:20" ht="15" customHeight="1" x14ac:dyDescent="0.2">
      <c r="T146" s="1"/>
    </row>
    <row r="147" spans="20:20" ht="15" customHeight="1" x14ac:dyDescent="0.2">
      <c r="T147" s="1"/>
    </row>
    <row r="148" spans="20:20" ht="15" customHeight="1" x14ac:dyDescent="0.2">
      <c r="T148" s="1"/>
    </row>
    <row r="149" spans="20:20" ht="15" customHeight="1" x14ac:dyDescent="0.2">
      <c r="T149" s="1"/>
    </row>
    <row r="150" spans="20:20" ht="15" customHeight="1" x14ac:dyDescent="0.2">
      <c r="T150" s="1"/>
    </row>
    <row r="151" spans="20:20" ht="15" customHeight="1" x14ac:dyDescent="0.2">
      <c r="T151" s="1"/>
    </row>
    <row r="152" spans="20:20" ht="15" customHeight="1" x14ac:dyDescent="0.2">
      <c r="T152" s="1"/>
    </row>
    <row r="153" spans="20:20" ht="15" customHeight="1" x14ac:dyDescent="0.2">
      <c r="T153" s="1"/>
    </row>
    <row r="154" spans="20:20" ht="15" customHeight="1" x14ac:dyDescent="0.2">
      <c r="T154" s="1"/>
    </row>
    <row r="155" spans="20:20" ht="15" customHeight="1" x14ac:dyDescent="0.2">
      <c r="T155" s="1"/>
    </row>
    <row r="156" spans="20:20" ht="15" customHeight="1" x14ac:dyDescent="0.2">
      <c r="T156" s="1"/>
    </row>
    <row r="157" spans="20:20" ht="15" customHeight="1" x14ac:dyDescent="0.2">
      <c r="T157" s="1"/>
    </row>
    <row r="158" spans="20:20" ht="15" customHeight="1" x14ac:dyDescent="0.2">
      <c r="T158" s="1"/>
    </row>
    <row r="159" spans="20:20" ht="15" customHeight="1" x14ac:dyDescent="0.2">
      <c r="T159" s="1"/>
    </row>
    <row r="160" spans="20:20" ht="15" customHeight="1" x14ac:dyDescent="0.2">
      <c r="T160" s="1"/>
    </row>
    <row r="161" spans="20:20" ht="15" customHeight="1" x14ac:dyDescent="0.2">
      <c r="T161" s="1"/>
    </row>
    <row r="162" spans="20:20" ht="15" customHeight="1" x14ac:dyDescent="0.2">
      <c r="T162" s="1"/>
    </row>
    <row r="163" spans="20:20" ht="15" customHeight="1" x14ac:dyDescent="0.2">
      <c r="T163" s="1"/>
    </row>
    <row r="164" spans="20:20" ht="15" customHeight="1" x14ac:dyDescent="0.2">
      <c r="T164" s="1"/>
    </row>
    <row r="165" spans="20:20" ht="15" customHeight="1" x14ac:dyDescent="0.2">
      <c r="T165" s="1"/>
    </row>
    <row r="166" spans="20:20" ht="15" customHeight="1" x14ac:dyDescent="0.2">
      <c r="T166" s="1"/>
    </row>
    <row r="167" spans="20:20" ht="15" customHeight="1" x14ac:dyDescent="0.2">
      <c r="T167" s="1"/>
    </row>
    <row r="168" spans="20:20" ht="15" customHeight="1" x14ac:dyDescent="0.2">
      <c r="T168" s="1"/>
    </row>
    <row r="169" spans="20:20" ht="15" customHeight="1" x14ac:dyDescent="0.2">
      <c r="T169" s="1"/>
    </row>
    <row r="170" spans="20:20" ht="15" customHeight="1" x14ac:dyDescent="0.2">
      <c r="T170" s="1"/>
    </row>
    <row r="171" spans="20:20" ht="15" customHeight="1" x14ac:dyDescent="0.2">
      <c r="T171" s="1"/>
    </row>
    <row r="172" spans="20:20" ht="15" customHeight="1" x14ac:dyDescent="0.2">
      <c r="T172" s="1"/>
    </row>
    <row r="173" spans="20:20" ht="15" customHeight="1" x14ac:dyDescent="0.2">
      <c r="T173" s="1"/>
    </row>
    <row r="174" spans="20:20" ht="15" customHeight="1" x14ac:dyDescent="0.2">
      <c r="T174" s="1"/>
    </row>
    <row r="175" spans="20:20" ht="15" customHeight="1" x14ac:dyDescent="0.2">
      <c r="T175" s="1"/>
    </row>
    <row r="176" spans="20:20" ht="15" customHeight="1" x14ac:dyDescent="0.2">
      <c r="T176" s="1"/>
    </row>
    <row r="177" spans="20:20" ht="15" customHeight="1" x14ac:dyDescent="0.2">
      <c r="T177" s="1"/>
    </row>
    <row r="178" spans="20:20" ht="15" customHeight="1" x14ac:dyDescent="0.2">
      <c r="T178" s="1"/>
    </row>
    <row r="179" spans="20:20" ht="15" customHeight="1" x14ac:dyDescent="0.2">
      <c r="T179" s="1"/>
    </row>
    <row r="180" spans="20:20" ht="15" customHeight="1" x14ac:dyDescent="0.2">
      <c r="T180" s="1"/>
    </row>
    <row r="181" spans="20:20" ht="15" customHeight="1" x14ac:dyDescent="0.2">
      <c r="T181" s="1"/>
    </row>
    <row r="182" spans="20:20" ht="15" customHeight="1" x14ac:dyDescent="0.2">
      <c r="T182" s="1"/>
    </row>
    <row r="183" spans="20:20" ht="15" customHeight="1" x14ac:dyDescent="0.2">
      <c r="T183" s="1"/>
    </row>
    <row r="184" spans="20:20" ht="15" customHeight="1" x14ac:dyDescent="0.2">
      <c r="T184" s="1"/>
    </row>
    <row r="185" spans="20:20" ht="15" customHeight="1" x14ac:dyDescent="0.2">
      <c r="T185" s="1"/>
    </row>
    <row r="186" spans="20:20" ht="15" customHeight="1" x14ac:dyDescent="0.2">
      <c r="T186" s="1"/>
    </row>
    <row r="187" spans="20:20" ht="15" customHeight="1" x14ac:dyDescent="0.2">
      <c r="T187" s="1"/>
    </row>
    <row r="188" spans="20:20" ht="15" customHeight="1" x14ac:dyDescent="0.2">
      <c r="T188" s="1"/>
    </row>
    <row r="189" spans="20:20" ht="15" customHeight="1" x14ac:dyDescent="0.2">
      <c r="T189" s="1"/>
    </row>
    <row r="190" spans="20:20" ht="15" customHeight="1" x14ac:dyDescent="0.2">
      <c r="T190" s="1"/>
    </row>
    <row r="191" spans="20:20" ht="15" customHeight="1" x14ac:dyDescent="0.2">
      <c r="T191" s="1"/>
    </row>
    <row r="192" spans="20:20" ht="15" customHeight="1" x14ac:dyDescent="0.2">
      <c r="T192" s="1"/>
    </row>
    <row r="193" spans="20:20" ht="15" customHeight="1" x14ac:dyDescent="0.2">
      <c r="T193" s="1"/>
    </row>
    <row r="194" spans="20:20" ht="15" customHeight="1" x14ac:dyDescent="0.2">
      <c r="T194" s="1"/>
    </row>
    <row r="195" spans="20:20" ht="15" customHeight="1" x14ac:dyDescent="0.2">
      <c r="T195" s="1"/>
    </row>
    <row r="196" spans="20:20" ht="15" customHeight="1" x14ac:dyDescent="0.2">
      <c r="T196" s="1"/>
    </row>
    <row r="197" spans="20:20" ht="15" customHeight="1" x14ac:dyDescent="0.2">
      <c r="T197" s="1"/>
    </row>
    <row r="198" spans="20:20" ht="15" customHeight="1" x14ac:dyDescent="0.2">
      <c r="T198" s="1"/>
    </row>
    <row r="199" spans="20:20" ht="15" customHeight="1" x14ac:dyDescent="0.2">
      <c r="T199" s="1"/>
    </row>
    <row r="200" spans="20:20" ht="15" customHeight="1" x14ac:dyDescent="0.2">
      <c r="T200" s="1"/>
    </row>
    <row r="201" spans="20:20" ht="15" customHeight="1" x14ac:dyDescent="0.2">
      <c r="T201" s="1"/>
    </row>
    <row r="202" spans="20:20" ht="15" customHeight="1" x14ac:dyDescent="0.2">
      <c r="T202" s="1"/>
    </row>
    <row r="203" spans="20:20" ht="15" customHeight="1" x14ac:dyDescent="0.2">
      <c r="T203" s="1"/>
    </row>
    <row r="204" spans="20:20" ht="15" customHeight="1" x14ac:dyDescent="0.2">
      <c r="T204" s="1"/>
    </row>
    <row r="205" spans="20:20" ht="15" customHeight="1" x14ac:dyDescent="0.2">
      <c r="T205" s="1"/>
    </row>
    <row r="206" spans="20:20" ht="15" customHeight="1" x14ac:dyDescent="0.2">
      <c r="T206" s="1"/>
    </row>
    <row r="207" spans="20:20" ht="15" customHeight="1" x14ac:dyDescent="0.2">
      <c r="T207" s="1"/>
    </row>
  </sheetData>
  <sortState ref="A31:T76">
    <sortCondition descending="1" ref="T31:T76"/>
  </sortState>
  <pageMargins left="0.75" right="0.75" top="1" bottom="1" header="0.5" footer="0.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zoomScale="90" zoomScaleNormal="90" workbookViewId="0">
      <selection activeCell="D38" sqref="D38"/>
    </sheetView>
  </sheetViews>
  <sheetFormatPr defaultColWidth="9.140625" defaultRowHeight="15" customHeight="1" x14ac:dyDescent="0.2"/>
  <cols>
    <col min="1" max="1" width="22.7109375" customWidth="1"/>
    <col min="2" max="2" width="10.7109375" customWidth="1"/>
    <col min="3" max="3" width="8.5703125" customWidth="1"/>
    <col min="4" max="4" width="7.28515625" customWidth="1"/>
    <col min="5" max="5" width="1" customWidth="1"/>
    <col min="6" max="7" width="7.28515625" customWidth="1"/>
    <col min="8" max="8" width="1.140625" customWidth="1"/>
    <col min="9" max="10" width="7.28515625" customWidth="1"/>
    <col min="11" max="11" width="1.28515625" customWidth="1"/>
    <col min="12" max="13" width="7.28515625" customWidth="1"/>
    <col min="14" max="14" width="1" customWidth="1"/>
    <col min="15" max="16" width="7.28515625" customWidth="1"/>
    <col min="17" max="17" width="1.28515625" customWidth="1"/>
    <col min="18" max="18" width="7.28515625" style="16" customWidth="1"/>
    <col min="19" max="19" width="7.28515625" customWidth="1"/>
    <col min="20" max="20" width="7.5703125" bestFit="1" customWidth="1"/>
  </cols>
  <sheetData>
    <row r="1" spans="1:20" ht="34.5" x14ac:dyDescent="0.45">
      <c r="B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spans="1:20" ht="15" customHeight="1" x14ac:dyDescent="0.2">
      <c r="A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3"/>
      <c r="T2" s="3"/>
    </row>
    <row r="3" spans="1:20" ht="15" customHeight="1" x14ac:dyDescent="0.25">
      <c r="A3" s="10"/>
      <c r="B3" s="3"/>
      <c r="C3" s="20" t="s">
        <v>7</v>
      </c>
      <c r="D3" s="20"/>
      <c r="E3" s="20"/>
      <c r="F3" s="20" t="s">
        <v>18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8"/>
      <c r="T3" s="18"/>
    </row>
    <row r="4" spans="1:20" ht="15" customHeight="1" x14ac:dyDescent="0.2">
      <c r="A4" s="10"/>
      <c r="B4" s="3"/>
      <c r="C4" s="26">
        <v>42686</v>
      </c>
      <c r="D4" s="3"/>
      <c r="E4" s="3"/>
      <c r="F4" s="26">
        <v>42700</v>
      </c>
      <c r="G4" s="3"/>
      <c r="H4" s="3"/>
      <c r="I4" s="26"/>
      <c r="J4" s="3"/>
      <c r="K4" s="3"/>
      <c r="L4" s="26"/>
      <c r="M4" s="3"/>
      <c r="N4" s="3"/>
      <c r="O4" s="26"/>
      <c r="P4" s="3"/>
      <c r="Q4" s="3"/>
      <c r="R4" s="18"/>
      <c r="S4" s="18"/>
      <c r="T4" s="18"/>
    </row>
    <row r="5" spans="1:20" ht="15" customHeight="1" x14ac:dyDescent="0.2">
      <c r="A5" s="10"/>
      <c r="B5" s="3" t="s">
        <v>4</v>
      </c>
      <c r="C5" s="3" t="s">
        <v>0</v>
      </c>
      <c r="D5" s="3" t="s">
        <v>5</v>
      </c>
      <c r="E5" s="3"/>
      <c r="F5" s="3" t="s">
        <v>0</v>
      </c>
      <c r="G5" s="3" t="s">
        <v>5</v>
      </c>
      <c r="H5" s="3"/>
      <c r="I5" s="3" t="s">
        <v>0</v>
      </c>
      <c r="J5" s="3" t="s">
        <v>5</v>
      </c>
      <c r="K5" s="3"/>
      <c r="L5" s="3" t="s">
        <v>0</v>
      </c>
      <c r="M5" s="3" t="s">
        <v>5</v>
      </c>
      <c r="N5" s="3"/>
      <c r="O5" s="3" t="s">
        <v>0</v>
      </c>
      <c r="P5" s="3" t="s">
        <v>5</v>
      </c>
      <c r="Q5" s="3"/>
      <c r="R5" s="18" t="s">
        <v>0</v>
      </c>
      <c r="S5" s="18" t="s">
        <v>5</v>
      </c>
      <c r="T5" s="18" t="s">
        <v>1</v>
      </c>
    </row>
    <row r="6" spans="1:20" ht="15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</row>
    <row r="7" spans="1:20" ht="23.25" x14ac:dyDescent="0.35">
      <c r="A7" s="4" t="s">
        <v>12</v>
      </c>
      <c r="B7" s="4"/>
      <c r="C7" s="3"/>
      <c r="D7" s="3"/>
      <c r="E7" s="5"/>
      <c r="F7" s="3"/>
      <c r="G7" s="3"/>
      <c r="H7" s="5"/>
      <c r="I7" s="3"/>
      <c r="J7" s="3"/>
      <c r="K7" s="5"/>
      <c r="L7" s="3"/>
      <c r="M7" s="3"/>
      <c r="N7" s="45"/>
      <c r="O7" s="3"/>
      <c r="P7" s="3"/>
      <c r="Q7" s="45"/>
      <c r="R7" s="18"/>
      <c r="S7" s="18"/>
      <c r="T7" s="18"/>
    </row>
    <row r="8" spans="1:20" ht="15" customHeight="1" x14ac:dyDescent="0.2">
      <c r="A8" s="71" t="s">
        <v>66</v>
      </c>
      <c r="B8" s="71" t="s">
        <v>29</v>
      </c>
      <c r="C8" s="72">
        <v>2.9756944444444447E-2</v>
      </c>
      <c r="D8" s="52">
        <v>100</v>
      </c>
      <c r="E8" s="23"/>
      <c r="F8" s="27"/>
      <c r="G8" s="53"/>
      <c r="H8" s="23"/>
      <c r="I8" s="54"/>
      <c r="J8" s="54"/>
      <c r="K8" s="23"/>
      <c r="L8" s="54"/>
      <c r="M8" s="54"/>
      <c r="N8" s="23"/>
      <c r="O8" s="54"/>
      <c r="P8" s="54"/>
      <c r="Q8" s="23"/>
      <c r="R8" s="51"/>
      <c r="S8" s="51"/>
      <c r="T8" s="34">
        <f t="shared" ref="T8:T30" si="0">((((D8+G8)+J8)+M8)+P8)+S8</f>
        <v>100</v>
      </c>
    </row>
    <row r="9" spans="1:20" ht="15" customHeight="1" x14ac:dyDescent="0.2">
      <c r="A9" s="71" t="s">
        <v>67</v>
      </c>
      <c r="B9" s="71" t="s">
        <v>28</v>
      </c>
      <c r="C9" s="72">
        <v>3.9097222222222221E-2</v>
      </c>
      <c r="D9" s="23">
        <v>86</v>
      </c>
      <c r="E9" s="23"/>
      <c r="F9" s="27"/>
      <c r="G9" s="53"/>
      <c r="H9" s="23"/>
      <c r="I9" s="54"/>
      <c r="J9" s="54"/>
      <c r="K9" s="23"/>
      <c r="L9" s="54"/>
      <c r="M9" s="54"/>
      <c r="N9" s="23"/>
      <c r="O9" s="54"/>
      <c r="P9" s="54"/>
      <c r="Q9" s="23"/>
      <c r="R9" s="51"/>
      <c r="S9" s="51"/>
      <c r="T9" s="34">
        <f t="shared" si="0"/>
        <v>86</v>
      </c>
    </row>
    <row r="10" spans="1:20" ht="15" customHeight="1" x14ac:dyDescent="0.2">
      <c r="A10" s="71" t="s">
        <v>68</v>
      </c>
      <c r="B10" s="71" t="s">
        <v>28</v>
      </c>
      <c r="C10" s="72">
        <v>4.238425925925926E-2</v>
      </c>
      <c r="D10" s="23">
        <v>81</v>
      </c>
      <c r="E10" s="23"/>
      <c r="F10" s="27"/>
      <c r="G10" s="53"/>
      <c r="H10" s="23"/>
      <c r="I10" s="54"/>
      <c r="J10" s="54"/>
      <c r="K10" s="23"/>
      <c r="L10" s="54"/>
      <c r="M10" s="54"/>
      <c r="N10" s="23"/>
      <c r="O10" s="54"/>
      <c r="P10" s="54"/>
      <c r="Q10" s="23"/>
      <c r="R10" s="51"/>
      <c r="S10" s="51"/>
      <c r="T10" s="34">
        <f t="shared" si="0"/>
        <v>81</v>
      </c>
    </row>
    <row r="11" spans="1:20" ht="15" customHeight="1" x14ac:dyDescent="0.2">
      <c r="A11" s="71" t="s">
        <v>69</v>
      </c>
      <c r="B11" s="71" t="s">
        <v>28</v>
      </c>
      <c r="C11" s="72">
        <v>4.4016203703703703E-2</v>
      </c>
      <c r="D11" s="52">
        <v>79</v>
      </c>
      <c r="E11" s="23"/>
      <c r="F11" s="27"/>
      <c r="G11" s="53"/>
      <c r="H11" s="23"/>
      <c r="I11" s="54"/>
      <c r="J11" s="54"/>
      <c r="K11" s="23"/>
      <c r="L11" s="62"/>
      <c r="M11" s="53"/>
      <c r="N11" s="23"/>
      <c r="O11" s="54"/>
      <c r="P11" s="54"/>
      <c r="Q11" s="23"/>
      <c r="R11" s="51"/>
      <c r="S11" s="51"/>
      <c r="T11" s="34">
        <f t="shared" si="0"/>
        <v>79</v>
      </c>
    </row>
    <row r="12" spans="1:20" ht="15" customHeight="1" x14ac:dyDescent="0.2">
      <c r="A12" s="71" t="s">
        <v>70</v>
      </c>
      <c r="B12" s="71" t="s">
        <v>29</v>
      </c>
      <c r="C12" s="72">
        <v>5.8125000000000003E-2</v>
      </c>
      <c r="D12" s="52">
        <v>59</v>
      </c>
      <c r="E12" s="23"/>
      <c r="F12" s="25"/>
      <c r="G12" s="23"/>
      <c r="H12" s="23"/>
      <c r="I12" s="54"/>
      <c r="J12" s="54"/>
      <c r="K12" s="23"/>
      <c r="L12" s="54"/>
      <c r="M12" s="54"/>
      <c r="N12" s="23"/>
      <c r="O12" s="54"/>
      <c r="P12" s="54"/>
      <c r="Q12" s="23"/>
      <c r="R12" s="51"/>
      <c r="S12" s="51"/>
      <c r="T12" s="34">
        <f t="shared" si="0"/>
        <v>59</v>
      </c>
    </row>
    <row r="13" spans="1:20" ht="15" customHeight="1" x14ac:dyDescent="0.2">
      <c r="A13" s="71" t="s">
        <v>71</v>
      </c>
      <c r="B13" s="71" t="s">
        <v>59</v>
      </c>
      <c r="C13" s="71" t="s">
        <v>36</v>
      </c>
      <c r="D13" s="55"/>
      <c r="E13" s="23"/>
      <c r="F13" s="25"/>
      <c r="G13" s="25"/>
      <c r="H13" s="23"/>
      <c r="I13" s="54"/>
      <c r="J13" s="54"/>
      <c r="K13" s="23"/>
      <c r="L13" s="54"/>
      <c r="M13" s="54"/>
      <c r="N13" s="23"/>
      <c r="O13" s="54"/>
      <c r="P13" s="54"/>
      <c r="Q13" s="23"/>
      <c r="R13" s="51"/>
      <c r="S13" s="51"/>
      <c r="T13" s="34">
        <f t="shared" si="0"/>
        <v>0</v>
      </c>
    </row>
    <row r="14" spans="1:20" ht="15" customHeight="1" x14ac:dyDescent="0.2">
      <c r="A14" s="71" t="s">
        <v>72</v>
      </c>
      <c r="B14" s="71" t="s">
        <v>29</v>
      </c>
      <c r="C14" s="71" t="s">
        <v>36</v>
      </c>
      <c r="D14" s="23"/>
      <c r="E14" s="23"/>
      <c r="F14" s="27"/>
      <c r="G14" s="53"/>
      <c r="H14" s="23"/>
      <c r="I14" s="54"/>
      <c r="J14" s="54"/>
      <c r="K14" s="23"/>
      <c r="L14" s="54"/>
      <c r="M14" s="54"/>
      <c r="N14" s="23"/>
      <c r="O14" s="54"/>
      <c r="P14" s="54"/>
      <c r="Q14" s="23"/>
      <c r="R14" s="51"/>
      <c r="S14" s="51"/>
      <c r="T14" s="34">
        <f t="shared" si="0"/>
        <v>0</v>
      </c>
    </row>
    <row r="15" spans="1:20" ht="15" customHeight="1" x14ac:dyDescent="0.2">
      <c r="A15" s="71" t="s">
        <v>73</v>
      </c>
      <c r="B15" s="71" t="s">
        <v>27</v>
      </c>
      <c r="C15" s="71" t="s">
        <v>36</v>
      </c>
      <c r="D15" s="23"/>
      <c r="E15" s="23"/>
      <c r="F15" s="25"/>
      <c r="G15" s="23"/>
      <c r="H15" s="23"/>
      <c r="I15" s="54"/>
      <c r="J15" s="54"/>
      <c r="K15" s="23"/>
      <c r="L15" s="54"/>
      <c r="M15" s="54"/>
      <c r="N15" s="23"/>
      <c r="O15" s="54"/>
      <c r="P15" s="54"/>
      <c r="Q15" s="23"/>
      <c r="R15" s="51"/>
      <c r="S15" s="51"/>
      <c r="T15" s="34">
        <f t="shared" si="0"/>
        <v>0</v>
      </c>
    </row>
    <row r="16" spans="1:20" ht="15" customHeight="1" x14ac:dyDescent="0.2">
      <c r="A16" s="54"/>
      <c r="B16" s="56"/>
      <c r="C16" s="54"/>
      <c r="D16" s="23"/>
      <c r="E16" s="23"/>
      <c r="F16" s="25"/>
      <c r="G16" s="23"/>
      <c r="H16" s="23"/>
      <c r="I16" s="54"/>
      <c r="J16" s="54"/>
      <c r="K16" s="23"/>
      <c r="L16" s="54"/>
      <c r="M16" s="54"/>
      <c r="N16" s="23"/>
      <c r="O16" s="54"/>
      <c r="P16" s="54"/>
      <c r="Q16" s="23"/>
      <c r="R16" s="51"/>
      <c r="S16" s="51"/>
      <c r="T16" s="34">
        <f t="shared" si="0"/>
        <v>0</v>
      </c>
    </row>
    <row r="17" spans="1:20" ht="15" customHeight="1" x14ac:dyDescent="0.2">
      <c r="A17" s="54"/>
      <c r="B17" s="56"/>
      <c r="C17" s="54"/>
      <c r="D17" s="23"/>
      <c r="E17" s="23"/>
      <c r="F17" s="25"/>
      <c r="G17" s="23"/>
      <c r="H17" s="23"/>
      <c r="I17" s="54"/>
      <c r="J17" s="54"/>
      <c r="K17" s="23"/>
      <c r="L17" s="54"/>
      <c r="M17" s="54"/>
      <c r="N17" s="23"/>
      <c r="O17" s="54"/>
      <c r="P17" s="54"/>
      <c r="Q17" s="23"/>
      <c r="R17" s="51"/>
      <c r="S17" s="51"/>
      <c r="T17" s="34">
        <f t="shared" si="0"/>
        <v>0</v>
      </c>
    </row>
    <row r="18" spans="1:20" ht="15" customHeight="1" x14ac:dyDescent="0.2">
      <c r="A18" s="56"/>
      <c r="B18" s="56"/>
      <c r="C18" s="52"/>
      <c r="D18" s="52"/>
      <c r="E18" s="23"/>
      <c r="F18" s="25"/>
      <c r="G18" s="23"/>
      <c r="H18" s="23"/>
      <c r="I18" s="54"/>
      <c r="J18" s="54"/>
      <c r="K18" s="23"/>
      <c r="L18" s="54"/>
      <c r="M18" s="54"/>
      <c r="N18" s="23"/>
      <c r="O18" s="54"/>
      <c r="P18" s="54"/>
      <c r="Q18" s="23"/>
      <c r="R18" s="51"/>
      <c r="S18" s="51"/>
      <c r="T18" s="34">
        <f t="shared" si="0"/>
        <v>0</v>
      </c>
    </row>
    <row r="19" spans="1:20" ht="15" customHeight="1" x14ac:dyDescent="0.2">
      <c r="A19" s="56"/>
      <c r="B19" s="56"/>
      <c r="C19" s="52"/>
      <c r="D19" s="52"/>
      <c r="E19" s="23"/>
      <c r="F19" s="25"/>
      <c r="G19" s="23"/>
      <c r="H19" s="23"/>
      <c r="I19" s="54"/>
      <c r="J19" s="54"/>
      <c r="K19" s="23"/>
      <c r="L19" s="54"/>
      <c r="M19" s="54"/>
      <c r="N19" s="23"/>
      <c r="O19" s="54"/>
      <c r="P19" s="54"/>
      <c r="Q19" s="23"/>
      <c r="R19" s="51"/>
      <c r="S19" s="51"/>
      <c r="T19" s="34"/>
    </row>
    <row r="20" spans="1:20" ht="15" customHeight="1" x14ac:dyDescent="0.2">
      <c r="A20" s="56"/>
      <c r="B20" s="56"/>
      <c r="C20" s="52"/>
      <c r="D20" s="52"/>
      <c r="E20" s="23"/>
      <c r="F20" s="25"/>
      <c r="G20" s="23"/>
      <c r="H20" s="23"/>
      <c r="I20" s="54"/>
      <c r="J20" s="54"/>
      <c r="K20" s="23"/>
      <c r="L20" s="54"/>
      <c r="M20" s="54"/>
      <c r="N20" s="23"/>
      <c r="O20" s="54"/>
      <c r="P20" s="54"/>
      <c r="Q20" s="23"/>
      <c r="R20" s="51"/>
      <c r="S20" s="51"/>
      <c r="T20" s="34"/>
    </row>
    <row r="21" spans="1:20" ht="15" customHeight="1" x14ac:dyDescent="0.2">
      <c r="A21" s="56"/>
      <c r="B21" s="56"/>
      <c r="C21" s="52"/>
      <c r="D21" s="52"/>
      <c r="E21" s="23"/>
      <c r="F21" s="25"/>
      <c r="G21" s="23"/>
      <c r="H21" s="23"/>
      <c r="I21" s="54"/>
      <c r="J21" s="54"/>
      <c r="K21" s="23"/>
      <c r="L21" s="54"/>
      <c r="M21" s="54"/>
      <c r="N21" s="23"/>
      <c r="O21" s="54"/>
      <c r="P21" s="54"/>
      <c r="Q21" s="23"/>
      <c r="R21" s="51"/>
      <c r="S21" s="51"/>
      <c r="T21" s="34">
        <f t="shared" si="0"/>
        <v>0</v>
      </c>
    </row>
    <row r="22" spans="1:20" ht="15" customHeight="1" x14ac:dyDescent="0.2">
      <c r="A22" s="54"/>
      <c r="B22" s="56"/>
      <c r="C22" s="23"/>
      <c r="D22" s="23"/>
      <c r="E22" s="23"/>
      <c r="F22" s="27"/>
      <c r="G22" s="53"/>
      <c r="H22" s="23"/>
      <c r="I22" s="54"/>
      <c r="J22" s="54"/>
      <c r="K22" s="23"/>
      <c r="L22" s="54"/>
      <c r="M22" s="54"/>
      <c r="N22" s="23"/>
      <c r="O22" s="54"/>
      <c r="P22" s="54"/>
      <c r="Q22" s="23"/>
      <c r="R22" s="51"/>
      <c r="S22" s="51"/>
      <c r="T22" s="34">
        <f t="shared" si="0"/>
        <v>0</v>
      </c>
    </row>
    <row r="23" spans="1:20" ht="15" customHeight="1" x14ac:dyDescent="0.2">
      <c r="A23" s="54"/>
      <c r="B23" s="56"/>
      <c r="C23" s="54"/>
      <c r="D23" s="23"/>
      <c r="E23" s="23"/>
      <c r="F23" s="25"/>
      <c r="G23" s="23"/>
      <c r="H23" s="23"/>
      <c r="I23" s="54"/>
      <c r="J23" s="54"/>
      <c r="K23" s="23"/>
      <c r="L23" s="54"/>
      <c r="M23" s="54"/>
      <c r="N23" s="23"/>
      <c r="O23" s="54"/>
      <c r="P23" s="54"/>
      <c r="Q23" s="23"/>
      <c r="R23" s="51"/>
      <c r="S23" s="51"/>
      <c r="T23" s="34">
        <f t="shared" si="0"/>
        <v>0</v>
      </c>
    </row>
    <row r="24" spans="1:20" ht="15" customHeight="1" x14ac:dyDescent="0.2">
      <c r="A24" s="54"/>
      <c r="B24" s="56"/>
      <c r="C24" s="54"/>
      <c r="D24" s="23"/>
      <c r="E24" s="23"/>
      <c r="F24" s="27"/>
      <c r="G24" s="53"/>
      <c r="H24" s="23"/>
      <c r="I24" s="54"/>
      <c r="J24" s="54"/>
      <c r="K24" s="23"/>
      <c r="L24" s="54"/>
      <c r="M24" s="54"/>
      <c r="N24" s="23"/>
      <c r="O24" s="54"/>
      <c r="P24" s="54"/>
      <c r="Q24" s="23"/>
      <c r="R24" s="51"/>
      <c r="S24" s="51"/>
      <c r="T24" s="34">
        <f t="shared" si="0"/>
        <v>0</v>
      </c>
    </row>
    <row r="25" spans="1:20" ht="15" customHeight="1" x14ac:dyDescent="0.2">
      <c r="A25" s="54"/>
      <c r="B25" s="56"/>
      <c r="C25" s="54"/>
      <c r="D25" s="23"/>
      <c r="E25" s="23"/>
      <c r="F25" s="27"/>
      <c r="G25" s="53"/>
      <c r="H25" s="23"/>
      <c r="I25" s="54"/>
      <c r="J25" s="54"/>
      <c r="K25" s="23"/>
      <c r="L25" s="54"/>
      <c r="M25" s="54"/>
      <c r="N25" s="23"/>
      <c r="O25" s="54"/>
      <c r="P25" s="54"/>
      <c r="Q25" s="23"/>
      <c r="R25" s="51"/>
      <c r="S25" s="51"/>
      <c r="T25" s="34"/>
    </row>
    <row r="26" spans="1:20" ht="15" customHeight="1" x14ac:dyDescent="0.2">
      <c r="A26" s="54"/>
      <c r="B26" s="56"/>
      <c r="C26" s="54"/>
      <c r="D26" s="23"/>
      <c r="E26" s="23"/>
      <c r="F26" s="27"/>
      <c r="G26" s="53"/>
      <c r="H26" s="23"/>
      <c r="I26" s="54"/>
      <c r="J26" s="54"/>
      <c r="K26" s="23"/>
      <c r="L26" s="54"/>
      <c r="M26" s="54"/>
      <c r="N26" s="23"/>
      <c r="O26" s="54"/>
      <c r="P26" s="54"/>
      <c r="Q26" s="23"/>
      <c r="R26" s="51"/>
      <c r="S26" s="51"/>
      <c r="T26" s="34"/>
    </row>
    <row r="27" spans="1:20" ht="15" customHeight="1" x14ac:dyDescent="0.2">
      <c r="A27" s="54"/>
      <c r="B27" s="56"/>
      <c r="C27" s="54"/>
      <c r="D27" s="23"/>
      <c r="E27" s="23"/>
      <c r="F27" s="27"/>
      <c r="G27" s="53"/>
      <c r="H27" s="23"/>
      <c r="I27" s="54"/>
      <c r="J27" s="54"/>
      <c r="K27" s="23"/>
      <c r="L27" s="54"/>
      <c r="M27" s="54"/>
      <c r="N27" s="23"/>
      <c r="O27" s="54"/>
      <c r="P27" s="54"/>
      <c r="Q27" s="23"/>
      <c r="R27" s="51"/>
      <c r="S27" s="51"/>
      <c r="T27" s="34"/>
    </row>
    <row r="28" spans="1:20" ht="15" customHeight="1" x14ac:dyDescent="0.2">
      <c r="A28" s="54"/>
      <c r="B28" s="56"/>
      <c r="C28" s="54"/>
      <c r="D28" s="23"/>
      <c r="E28" s="23"/>
      <c r="F28" s="27"/>
      <c r="G28" s="53"/>
      <c r="H28" s="23"/>
      <c r="I28" s="54"/>
      <c r="J28" s="54"/>
      <c r="K28" s="23"/>
      <c r="L28" s="54"/>
      <c r="M28" s="54"/>
      <c r="N28" s="23"/>
      <c r="O28" s="54"/>
      <c r="P28" s="54"/>
      <c r="Q28" s="23"/>
      <c r="R28" s="51"/>
      <c r="S28" s="51"/>
      <c r="T28" s="34"/>
    </row>
    <row r="29" spans="1:20" ht="15" customHeight="1" x14ac:dyDescent="0.2">
      <c r="A29" s="56"/>
      <c r="B29" s="56"/>
      <c r="C29" s="52"/>
      <c r="D29" s="52"/>
      <c r="E29" s="23"/>
      <c r="F29" s="27"/>
      <c r="G29" s="53"/>
      <c r="H29" s="23"/>
      <c r="I29" s="54"/>
      <c r="J29" s="54"/>
      <c r="K29" s="23"/>
      <c r="L29" s="54"/>
      <c r="M29" s="54"/>
      <c r="N29" s="23"/>
      <c r="O29" s="54"/>
      <c r="P29" s="54"/>
      <c r="Q29" s="23"/>
      <c r="R29" s="51"/>
      <c r="S29" s="51"/>
      <c r="T29" s="34">
        <f t="shared" si="0"/>
        <v>0</v>
      </c>
    </row>
    <row r="30" spans="1:20" ht="15" customHeight="1" x14ac:dyDescent="0.2">
      <c r="A30" s="54"/>
      <c r="B30" s="56"/>
      <c r="C30" s="54"/>
      <c r="D30" s="23"/>
      <c r="E30" s="23"/>
      <c r="F30" s="25"/>
      <c r="G30" s="23"/>
      <c r="H30" s="23"/>
      <c r="I30" s="54"/>
      <c r="J30" s="54"/>
      <c r="K30" s="23"/>
      <c r="L30" s="54"/>
      <c r="M30" s="54"/>
      <c r="N30" s="23"/>
      <c r="O30" s="54"/>
      <c r="P30" s="54"/>
      <c r="Q30" s="23"/>
      <c r="R30" s="51"/>
      <c r="S30" s="51"/>
      <c r="T30" s="34">
        <f t="shared" si="0"/>
        <v>0</v>
      </c>
    </row>
    <row r="31" spans="1:20" ht="15" customHeight="1" x14ac:dyDescent="0.2">
      <c r="A31" s="3"/>
      <c r="B31" s="22"/>
      <c r="C31" s="3"/>
      <c r="D31" s="3"/>
      <c r="E31" s="5"/>
      <c r="F31" s="9"/>
      <c r="G31" s="3"/>
      <c r="H31" s="5"/>
      <c r="I31" s="7"/>
      <c r="J31" s="7"/>
      <c r="K31" s="5"/>
      <c r="L31" s="7"/>
      <c r="M31" s="7"/>
      <c r="N31" s="45"/>
      <c r="O31" s="7"/>
      <c r="P31" s="7"/>
      <c r="Q31" s="5"/>
      <c r="R31" s="18"/>
      <c r="S31" s="18"/>
      <c r="T31" s="34"/>
    </row>
    <row r="32" spans="1:20" ht="23.25" x14ac:dyDescent="0.35">
      <c r="A32" s="4" t="s">
        <v>13</v>
      </c>
      <c r="B32" s="22"/>
      <c r="C32" s="3"/>
      <c r="D32" s="3"/>
      <c r="E32" s="5"/>
      <c r="F32" s="9"/>
      <c r="G32" s="3"/>
      <c r="H32" s="5"/>
      <c r="I32" s="3"/>
      <c r="J32" s="3"/>
      <c r="K32" s="5"/>
      <c r="L32" s="3"/>
      <c r="M32" s="3"/>
      <c r="N32" s="5"/>
      <c r="O32" s="3"/>
      <c r="P32" s="3"/>
      <c r="Q32" s="5"/>
      <c r="R32" s="18"/>
      <c r="S32" s="18"/>
      <c r="T32" s="39"/>
    </row>
    <row r="33" spans="1:20" ht="15" customHeight="1" x14ac:dyDescent="0.2">
      <c r="A33" s="71" t="s">
        <v>74</v>
      </c>
      <c r="B33" s="71" t="s">
        <v>26</v>
      </c>
      <c r="C33" s="72">
        <v>3.2094907407407412E-2</v>
      </c>
      <c r="D33" s="52">
        <v>100</v>
      </c>
      <c r="E33" s="23"/>
      <c r="F33" s="27"/>
      <c r="G33" s="27"/>
      <c r="H33" s="23"/>
      <c r="I33" s="54"/>
      <c r="J33" s="54"/>
      <c r="K33" s="23"/>
      <c r="L33" s="54"/>
      <c r="M33" s="54"/>
      <c r="N33" s="23"/>
      <c r="O33" s="54"/>
      <c r="P33" s="54"/>
      <c r="Q33" s="23"/>
      <c r="R33" s="51"/>
      <c r="S33" s="51"/>
      <c r="T33" s="34">
        <f t="shared" ref="T33:T52" si="1">((((D33+G33)+J33)+M33)+P33)+S33</f>
        <v>100</v>
      </c>
    </row>
    <row r="34" spans="1:20" ht="15" customHeight="1" x14ac:dyDescent="0.2">
      <c r="A34" s="71" t="s">
        <v>75</v>
      </c>
      <c r="B34" s="71" t="s">
        <v>26</v>
      </c>
      <c r="C34" s="72">
        <v>3.516203703703704E-2</v>
      </c>
      <c r="D34" s="52">
        <v>95</v>
      </c>
      <c r="E34" s="23"/>
      <c r="F34" s="27"/>
      <c r="G34" s="27"/>
      <c r="H34" s="23"/>
      <c r="I34" s="54"/>
      <c r="J34" s="54"/>
      <c r="K34" s="23"/>
      <c r="L34" s="54"/>
      <c r="M34" s="54"/>
      <c r="N34" s="23"/>
      <c r="O34" s="54"/>
      <c r="P34" s="54"/>
      <c r="Q34" s="23"/>
      <c r="R34" s="51"/>
      <c r="S34" s="51"/>
      <c r="T34" s="34">
        <f t="shared" si="1"/>
        <v>95</v>
      </c>
    </row>
    <row r="35" spans="1:20" ht="15" customHeight="1" x14ac:dyDescent="0.2">
      <c r="A35" s="71" t="s">
        <v>76</v>
      </c>
      <c r="B35" s="71" t="s">
        <v>28</v>
      </c>
      <c r="C35" s="72">
        <v>3.9224537037037037E-2</v>
      </c>
      <c r="D35" s="23">
        <v>89</v>
      </c>
      <c r="E35" s="23"/>
      <c r="F35" s="27"/>
      <c r="G35" s="35"/>
      <c r="H35" s="23"/>
      <c r="I35" s="54"/>
      <c r="J35" s="54"/>
      <c r="K35" s="23"/>
      <c r="L35" s="62"/>
      <c r="M35" s="54"/>
      <c r="N35" s="23"/>
      <c r="O35" s="54"/>
      <c r="P35" s="54"/>
      <c r="Q35" s="23"/>
      <c r="R35" s="51"/>
      <c r="S35" s="51"/>
      <c r="T35" s="34">
        <f t="shared" si="1"/>
        <v>89</v>
      </c>
    </row>
    <row r="36" spans="1:20" ht="15" customHeight="1" x14ac:dyDescent="0.2">
      <c r="A36" s="71" t="s">
        <v>77</v>
      </c>
      <c r="B36" s="71" t="s">
        <v>26</v>
      </c>
      <c r="C36" s="72">
        <v>4.3449074074074077E-2</v>
      </c>
      <c r="D36" s="54">
        <v>83</v>
      </c>
      <c r="E36" s="23"/>
      <c r="F36" s="27"/>
      <c r="G36" s="35"/>
      <c r="H36" s="23"/>
      <c r="I36" s="54"/>
      <c r="J36" s="54"/>
      <c r="K36" s="23"/>
      <c r="L36" s="54"/>
      <c r="M36" s="54"/>
      <c r="N36" s="23"/>
      <c r="O36" s="54"/>
      <c r="P36" s="54"/>
      <c r="Q36" s="23"/>
      <c r="R36" s="51"/>
      <c r="S36" s="51"/>
      <c r="T36" s="34">
        <f t="shared" si="1"/>
        <v>83</v>
      </c>
    </row>
    <row r="37" spans="1:20" ht="15" customHeight="1" x14ac:dyDescent="0.2">
      <c r="A37" s="71" t="s">
        <v>78</v>
      </c>
      <c r="B37" s="71" t="s">
        <v>28</v>
      </c>
      <c r="C37" s="72">
        <v>4.6006944444444448E-2</v>
      </c>
      <c r="D37" s="52">
        <v>79</v>
      </c>
      <c r="E37" s="23"/>
      <c r="F37" s="27"/>
      <c r="G37" s="35"/>
      <c r="H37" s="23"/>
      <c r="I37" s="54"/>
      <c r="J37" s="54"/>
      <c r="K37" s="23"/>
      <c r="L37" s="54"/>
      <c r="M37" s="54"/>
      <c r="N37" s="23"/>
      <c r="O37" s="54"/>
      <c r="P37" s="54"/>
      <c r="Q37" s="23"/>
      <c r="R37" s="51"/>
      <c r="S37" s="51"/>
      <c r="T37" s="34">
        <f t="shared" si="1"/>
        <v>79</v>
      </c>
    </row>
    <row r="38" spans="1:20" ht="15" customHeight="1" x14ac:dyDescent="0.2">
      <c r="A38" s="71" t="s">
        <v>79</v>
      </c>
      <c r="B38" s="71" t="s">
        <v>28</v>
      </c>
      <c r="C38" s="72">
        <v>6.0902777777777778E-2</v>
      </c>
      <c r="D38" s="52">
        <v>58</v>
      </c>
      <c r="E38" s="23"/>
      <c r="F38" s="27"/>
      <c r="G38" s="35"/>
      <c r="H38" s="23"/>
      <c r="I38" s="54"/>
      <c r="J38" s="54"/>
      <c r="K38" s="23"/>
      <c r="L38" s="54"/>
      <c r="M38" s="54"/>
      <c r="N38" s="23"/>
      <c r="O38" s="54"/>
      <c r="P38" s="54"/>
      <c r="Q38" s="23"/>
      <c r="R38" s="51"/>
      <c r="S38" s="51"/>
      <c r="T38" s="34">
        <f t="shared" si="1"/>
        <v>58</v>
      </c>
    </row>
    <row r="39" spans="1:20" ht="15" customHeight="1" x14ac:dyDescent="0.2">
      <c r="A39" s="71" t="s">
        <v>80</v>
      </c>
      <c r="B39" s="71" t="s">
        <v>29</v>
      </c>
      <c r="C39" s="71" t="s">
        <v>36</v>
      </c>
      <c r="D39" s="52"/>
      <c r="E39" s="23"/>
      <c r="F39" s="27"/>
      <c r="G39" s="27"/>
      <c r="H39" s="23"/>
      <c r="I39" s="54"/>
      <c r="J39" s="54"/>
      <c r="K39" s="23"/>
      <c r="L39" s="54"/>
      <c r="M39" s="54"/>
      <c r="N39" s="23"/>
      <c r="O39" s="54"/>
      <c r="P39" s="54"/>
      <c r="Q39" s="23"/>
      <c r="R39" s="51"/>
      <c r="S39" s="51"/>
      <c r="T39" s="34">
        <f t="shared" si="1"/>
        <v>0</v>
      </c>
    </row>
    <row r="40" spans="1:20" ht="15" customHeight="1" x14ac:dyDescent="0.2">
      <c r="A40" s="71" t="s">
        <v>81</v>
      </c>
      <c r="B40" s="71" t="s">
        <v>28</v>
      </c>
      <c r="C40" s="71" t="s">
        <v>36</v>
      </c>
      <c r="D40" s="52"/>
      <c r="E40" s="23"/>
      <c r="F40" s="27"/>
      <c r="G40" s="27"/>
      <c r="H40" s="23"/>
      <c r="I40" s="62"/>
      <c r="J40" s="54"/>
      <c r="K40" s="23"/>
      <c r="L40" s="54"/>
      <c r="M40" s="54"/>
      <c r="N40" s="23"/>
      <c r="O40" s="54"/>
      <c r="P40" s="54"/>
      <c r="Q40" s="23"/>
      <c r="R40" s="51"/>
      <c r="S40" s="51"/>
      <c r="T40" s="34">
        <f t="shared" si="1"/>
        <v>0</v>
      </c>
    </row>
    <row r="41" spans="1:20" ht="15" customHeight="1" x14ac:dyDescent="0.2">
      <c r="A41" s="71" t="s">
        <v>82</v>
      </c>
      <c r="B41" s="71" t="s">
        <v>28</v>
      </c>
      <c r="C41" s="71" t="s">
        <v>36</v>
      </c>
      <c r="D41" s="52"/>
      <c r="E41" s="23"/>
      <c r="F41" s="27"/>
      <c r="G41" s="27"/>
      <c r="H41" s="23"/>
      <c r="I41" s="54"/>
      <c r="J41" s="54"/>
      <c r="K41" s="23"/>
      <c r="L41" s="54"/>
      <c r="M41" s="54"/>
      <c r="N41" s="23"/>
      <c r="O41" s="54"/>
      <c r="P41" s="54"/>
      <c r="Q41" s="23"/>
      <c r="R41" s="51"/>
      <c r="S41" s="51"/>
      <c r="T41" s="34">
        <f t="shared" si="1"/>
        <v>0</v>
      </c>
    </row>
    <row r="42" spans="1:20" ht="15" customHeight="1" x14ac:dyDescent="0.2">
      <c r="A42" s="56"/>
      <c r="B42" s="56"/>
      <c r="C42" s="52"/>
      <c r="D42" s="52"/>
      <c r="E42" s="23"/>
      <c r="F42" s="27"/>
      <c r="G42" s="27"/>
      <c r="H42" s="23"/>
      <c r="I42" s="54"/>
      <c r="J42" s="54"/>
      <c r="K42" s="23"/>
      <c r="L42" s="54"/>
      <c r="M42" s="54"/>
      <c r="N42" s="23"/>
      <c r="O42" s="54"/>
      <c r="P42" s="54"/>
      <c r="Q42" s="23"/>
      <c r="R42" s="51"/>
      <c r="S42" s="51"/>
      <c r="T42" s="34">
        <f t="shared" si="1"/>
        <v>0</v>
      </c>
    </row>
    <row r="43" spans="1:20" ht="15" customHeight="1" x14ac:dyDescent="0.2">
      <c r="A43" s="56"/>
      <c r="B43" s="56"/>
      <c r="C43" s="52"/>
      <c r="D43" s="52"/>
      <c r="E43" s="23"/>
      <c r="F43" s="27"/>
      <c r="G43" s="27"/>
      <c r="H43" s="23"/>
      <c r="I43" s="54"/>
      <c r="J43" s="54"/>
      <c r="K43" s="23"/>
      <c r="L43" s="54"/>
      <c r="M43" s="54"/>
      <c r="N43" s="23"/>
      <c r="O43" s="54"/>
      <c r="P43" s="54"/>
      <c r="Q43" s="23"/>
      <c r="R43" s="51"/>
      <c r="S43" s="51"/>
      <c r="T43" s="34">
        <f t="shared" si="1"/>
        <v>0</v>
      </c>
    </row>
    <row r="44" spans="1:20" ht="15" customHeight="1" x14ac:dyDescent="0.2">
      <c r="A44" s="56"/>
      <c r="B44" s="56"/>
      <c r="C44" s="52"/>
      <c r="D44" s="52"/>
      <c r="E44" s="23"/>
      <c r="F44" s="27"/>
      <c r="G44" s="27"/>
      <c r="H44" s="23"/>
      <c r="I44" s="54"/>
      <c r="J44" s="54"/>
      <c r="K44" s="23"/>
      <c r="L44" s="54"/>
      <c r="M44" s="54"/>
      <c r="N44" s="23"/>
      <c r="O44" s="54"/>
      <c r="P44" s="54"/>
      <c r="Q44" s="23"/>
      <c r="R44" s="51"/>
      <c r="S44" s="51"/>
      <c r="T44" s="34">
        <f t="shared" si="1"/>
        <v>0</v>
      </c>
    </row>
    <row r="45" spans="1:20" ht="15" customHeight="1" x14ac:dyDescent="0.2">
      <c r="A45" s="56"/>
      <c r="B45" s="56"/>
      <c r="C45" s="52"/>
      <c r="D45" s="52"/>
      <c r="E45" s="23"/>
      <c r="F45" s="27"/>
      <c r="G45" s="27"/>
      <c r="H45" s="23"/>
      <c r="I45" s="54"/>
      <c r="J45" s="54"/>
      <c r="K45" s="23"/>
      <c r="L45" s="54"/>
      <c r="M45" s="54"/>
      <c r="N45" s="23"/>
      <c r="O45" s="54"/>
      <c r="P45" s="54"/>
      <c r="Q45" s="23"/>
      <c r="R45" s="51"/>
      <c r="S45" s="51"/>
      <c r="T45" s="34">
        <f t="shared" si="1"/>
        <v>0</v>
      </c>
    </row>
    <row r="46" spans="1:20" ht="15" customHeight="1" x14ac:dyDescent="0.2">
      <c r="A46" s="56"/>
      <c r="B46" s="56"/>
      <c r="C46" s="52"/>
      <c r="D46" s="52"/>
      <c r="E46" s="23"/>
      <c r="F46" s="27"/>
      <c r="G46" s="27"/>
      <c r="H46" s="23"/>
      <c r="I46" s="54"/>
      <c r="J46" s="54"/>
      <c r="K46" s="23"/>
      <c r="L46" s="54"/>
      <c r="M46" s="54"/>
      <c r="N46" s="23"/>
      <c r="O46" s="54"/>
      <c r="P46" s="54"/>
      <c r="Q46" s="23"/>
      <c r="R46" s="51"/>
      <c r="S46" s="51"/>
      <c r="T46" s="34">
        <f t="shared" si="1"/>
        <v>0</v>
      </c>
    </row>
    <row r="47" spans="1:20" ht="15" customHeight="1" x14ac:dyDescent="0.2">
      <c r="A47" s="56"/>
      <c r="B47" s="56"/>
      <c r="C47" s="52"/>
      <c r="D47" s="52"/>
      <c r="E47" s="23"/>
      <c r="F47" s="27"/>
      <c r="G47" s="27"/>
      <c r="H47" s="23"/>
      <c r="I47" s="54"/>
      <c r="J47" s="54"/>
      <c r="K47" s="23"/>
      <c r="L47" s="54"/>
      <c r="M47" s="54"/>
      <c r="N47" s="23"/>
      <c r="O47" s="54"/>
      <c r="P47" s="54"/>
      <c r="Q47" s="23"/>
      <c r="R47" s="51"/>
      <c r="S47" s="51"/>
      <c r="T47" s="34">
        <f t="shared" si="1"/>
        <v>0</v>
      </c>
    </row>
    <row r="48" spans="1:20" ht="15" customHeight="1" x14ac:dyDescent="0.2">
      <c r="A48" s="56"/>
      <c r="B48" s="56"/>
      <c r="C48" s="52"/>
      <c r="D48" s="52"/>
      <c r="E48" s="23"/>
      <c r="F48" s="27"/>
      <c r="G48" s="27"/>
      <c r="H48" s="23"/>
      <c r="I48" s="54"/>
      <c r="J48" s="54"/>
      <c r="K48" s="23"/>
      <c r="L48" s="54"/>
      <c r="M48" s="54"/>
      <c r="N48" s="23"/>
      <c r="O48" s="54"/>
      <c r="P48" s="54"/>
      <c r="Q48" s="23"/>
      <c r="R48" s="51"/>
      <c r="S48" s="51"/>
      <c r="T48" s="34">
        <f t="shared" si="1"/>
        <v>0</v>
      </c>
    </row>
    <row r="49" spans="1:20" ht="15" customHeight="1" x14ac:dyDescent="0.2">
      <c r="A49" s="56"/>
      <c r="B49" s="56"/>
      <c r="C49" s="52"/>
      <c r="D49" s="52"/>
      <c r="E49" s="23"/>
      <c r="F49" s="27"/>
      <c r="G49" s="27"/>
      <c r="H49" s="23"/>
      <c r="I49" s="54"/>
      <c r="J49" s="54"/>
      <c r="K49" s="23"/>
      <c r="L49" s="54"/>
      <c r="M49" s="54"/>
      <c r="N49" s="23"/>
      <c r="O49" s="54"/>
      <c r="P49" s="54"/>
      <c r="Q49" s="23"/>
      <c r="R49" s="51"/>
      <c r="S49" s="51"/>
      <c r="T49" s="34">
        <f t="shared" si="1"/>
        <v>0</v>
      </c>
    </row>
    <row r="50" spans="1:20" ht="15" customHeight="1" x14ac:dyDescent="0.2">
      <c r="A50" s="56"/>
      <c r="B50" s="56"/>
      <c r="C50" s="52"/>
      <c r="D50" s="52"/>
      <c r="E50" s="23"/>
      <c r="F50" s="27"/>
      <c r="G50" s="27"/>
      <c r="H50" s="23"/>
      <c r="I50" s="54"/>
      <c r="J50" s="54"/>
      <c r="K50" s="23"/>
      <c r="L50" s="54"/>
      <c r="M50" s="54"/>
      <c r="N50" s="23"/>
      <c r="O50" s="54"/>
      <c r="P50" s="54"/>
      <c r="Q50" s="23"/>
      <c r="R50" s="51"/>
      <c r="S50" s="51"/>
      <c r="T50" s="34">
        <f t="shared" si="1"/>
        <v>0</v>
      </c>
    </row>
    <row r="51" spans="1:20" ht="15" customHeight="1" x14ac:dyDescent="0.2">
      <c r="A51" s="56"/>
      <c r="B51" s="56"/>
      <c r="C51" s="52"/>
      <c r="D51" s="52"/>
      <c r="E51" s="23"/>
      <c r="F51" s="27"/>
      <c r="G51" s="27"/>
      <c r="H51" s="23"/>
      <c r="I51" s="54"/>
      <c r="J51" s="54"/>
      <c r="K51" s="23"/>
      <c r="L51" s="54"/>
      <c r="M51" s="54"/>
      <c r="N51" s="23"/>
      <c r="O51" s="54"/>
      <c r="P51" s="54"/>
      <c r="Q51" s="23"/>
      <c r="R51" s="51"/>
      <c r="S51" s="51"/>
      <c r="T51" s="34">
        <f t="shared" si="1"/>
        <v>0</v>
      </c>
    </row>
    <row r="52" spans="1:20" ht="15" customHeight="1" x14ac:dyDescent="0.2">
      <c r="A52" s="56"/>
      <c r="B52" s="56"/>
      <c r="C52" s="52"/>
      <c r="D52" s="52"/>
      <c r="E52" s="23"/>
      <c r="F52" s="27"/>
      <c r="G52" s="27"/>
      <c r="H52" s="23"/>
      <c r="I52" s="54"/>
      <c r="J52" s="54"/>
      <c r="K52" s="23"/>
      <c r="L52" s="54"/>
      <c r="M52" s="54"/>
      <c r="N52" s="23"/>
      <c r="O52" s="54"/>
      <c r="P52" s="54"/>
      <c r="Q52" s="23"/>
      <c r="R52" s="51"/>
      <c r="S52" s="51"/>
      <c r="T52" s="34">
        <f t="shared" si="1"/>
        <v>0</v>
      </c>
    </row>
    <row r="53" spans="1:20" ht="15" customHeight="1" x14ac:dyDescent="0.2">
      <c r="A53" s="23"/>
      <c r="B53" s="23"/>
      <c r="C53" s="23"/>
      <c r="D53" s="23"/>
      <c r="E53" s="23"/>
      <c r="F53" s="27"/>
      <c r="G53" s="27"/>
      <c r="H53" s="23"/>
      <c r="I53" s="54"/>
      <c r="J53" s="54"/>
      <c r="K53" s="23"/>
      <c r="L53" s="54"/>
      <c r="M53" s="54"/>
      <c r="N53" s="23"/>
      <c r="O53" s="54"/>
      <c r="P53" s="54"/>
      <c r="Q53" s="23"/>
      <c r="R53" s="51"/>
      <c r="S53" s="51"/>
      <c r="T53" s="34"/>
    </row>
    <row r="54" spans="1:20" ht="15" customHeight="1" x14ac:dyDescent="0.2">
      <c r="A54" s="56"/>
      <c r="B54" s="56"/>
      <c r="C54" s="52"/>
      <c r="D54" s="52"/>
      <c r="E54" s="23"/>
      <c r="F54" s="27"/>
      <c r="G54" s="27"/>
      <c r="H54" s="23"/>
      <c r="I54" s="54"/>
      <c r="J54" s="54"/>
      <c r="K54" s="23"/>
      <c r="L54" s="54"/>
      <c r="M54" s="54"/>
      <c r="N54" s="23"/>
      <c r="O54" s="54"/>
      <c r="P54" s="54"/>
      <c r="Q54" s="23"/>
      <c r="R54" s="51"/>
      <c r="S54" s="51"/>
      <c r="T54" s="34" t="s">
        <v>15</v>
      </c>
    </row>
    <row r="55" spans="1:20" ht="15" customHeight="1" x14ac:dyDescent="0.2">
      <c r="A55" s="56"/>
      <c r="B55" s="56"/>
      <c r="C55" s="52"/>
      <c r="D55" s="52"/>
      <c r="E55" s="23"/>
      <c r="F55" s="27"/>
      <c r="G55" s="27"/>
      <c r="H55" s="23"/>
      <c r="I55" s="54"/>
      <c r="J55" s="54"/>
      <c r="K55" s="23"/>
      <c r="L55" s="54"/>
      <c r="M55" s="54"/>
      <c r="N55" s="23"/>
      <c r="O55" s="54"/>
      <c r="P55" s="54"/>
      <c r="Q55" s="23"/>
      <c r="R55" s="51"/>
      <c r="S55" s="51"/>
      <c r="T55" s="34" t="s">
        <v>15</v>
      </c>
    </row>
    <row r="56" spans="1:20" ht="15" customHeight="1" x14ac:dyDescent="0.2">
      <c r="A56" s="56"/>
      <c r="B56" s="56"/>
      <c r="C56" s="52"/>
      <c r="D56" s="52"/>
      <c r="E56" s="23"/>
      <c r="F56" s="27"/>
      <c r="G56" s="27"/>
      <c r="H56" s="23"/>
      <c r="I56" s="54"/>
      <c r="J56" s="54"/>
      <c r="K56" s="23"/>
      <c r="L56" s="54"/>
      <c r="M56" s="54"/>
      <c r="N56" s="23"/>
      <c r="O56" s="54"/>
      <c r="P56" s="54"/>
      <c r="Q56" s="23"/>
      <c r="R56" s="51"/>
      <c r="S56" s="51"/>
      <c r="T56" s="34"/>
    </row>
    <row r="57" spans="1:20" ht="15" customHeight="1" x14ac:dyDescent="0.2">
      <c r="A57" s="56"/>
      <c r="B57" s="56"/>
      <c r="C57" s="52"/>
      <c r="D57" s="52"/>
      <c r="E57" s="23"/>
      <c r="F57" s="27"/>
      <c r="G57" s="27"/>
      <c r="H57" s="23"/>
      <c r="I57" s="54"/>
      <c r="J57" s="54"/>
      <c r="K57" s="23"/>
      <c r="L57" s="54"/>
      <c r="M57" s="54"/>
      <c r="N57" s="23"/>
      <c r="O57" s="54"/>
      <c r="P57" s="54"/>
      <c r="Q57" s="23"/>
      <c r="R57" s="51"/>
      <c r="S57" s="51"/>
      <c r="T57" s="40" t="s">
        <v>15</v>
      </c>
    </row>
    <row r="58" spans="1:20" ht="15" customHeight="1" x14ac:dyDescent="0.2">
      <c r="A58" s="23"/>
      <c r="B58" s="23"/>
      <c r="C58" s="23"/>
      <c r="D58" s="23"/>
      <c r="E58" s="23"/>
      <c r="F58" s="25"/>
      <c r="G58" s="23"/>
      <c r="H58" s="23"/>
      <c r="I58" s="54"/>
      <c r="J58" s="54"/>
      <c r="K58" s="23"/>
      <c r="L58" s="54"/>
      <c r="M58" s="54"/>
      <c r="N58" s="23"/>
      <c r="O58" s="54"/>
      <c r="P58" s="54"/>
      <c r="Q58" s="23"/>
      <c r="R58" s="51"/>
      <c r="S58" s="51"/>
      <c r="T58" s="34"/>
    </row>
    <row r="59" spans="1:20" ht="15" customHeight="1" x14ac:dyDescent="0.2">
      <c r="A59" s="54"/>
      <c r="B59" s="54"/>
      <c r="C59" s="54"/>
      <c r="D59" s="23"/>
      <c r="E59" s="23"/>
      <c r="F59" s="25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1"/>
      <c r="S59" s="51"/>
      <c r="T59" s="19"/>
    </row>
    <row r="60" spans="1:20" ht="15" customHeight="1" x14ac:dyDescent="0.2">
      <c r="A60" s="11"/>
      <c r="B60" s="11"/>
      <c r="C60" s="11"/>
      <c r="D60" s="11"/>
      <c r="E60" s="11"/>
      <c r="F60" s="3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7"/>
      <c r="S60" s="11"/>
      <c r="T60" s="12"/>
    </row>
    <row r="61" spans="1:20" ht="15" customHeight="1" x14ac:dyDescent="0.2">
      <c r="F61" s="37"/>
      <c r="T61" s="1"/>
    </row>
    <row r="62" spans="1:20" ht="15" customHeight="1" x14ac:dyDescent="0.2">
      <c r="T62" s="1"/>
    </row>
    <row r="63" spans="1:20" ht="15" customHeight="1" x14ac:dyDescent="0.2">
      <c r="T63" s="1"/>
    </row>
    <row r="64" spans="1:20" ht="15" customHeight="1" x14ac:dyDescent="0.2">
      <c r="T64" s="1"/>
    </row>
    <row r="65" spans="20:20" ht="15" customHeight="1" x14ac:dyDescent="0.2">
      <c r="T65" s="1"/>
    </row>
    <row r="66" spans="20:20" ht="15" customHeight="1" x14ac:dyDescent="0.2">
      <c r="T66" s="1"/>
    </row>
    <row r="67" spans="20:20" ht="15" customHeight="1" x14ac:dyDescent="0.2">
      <c r="T67" s="1"/>
    </row>
    <row r="68" spans="20:20" ht="15" customHeight="1" x14ac:dyDescent="0.2">
      <c r="T68" s="1"/>
    </row>
    <row r="69" spans="20:20" ht="15" customHeight="1" x14ac:dyDescent="0.2">
      <c r="T69" s="1"/>
    </row>
    <row r="70" spans="20:20" ht="15" customHeight="1" x14ac:dyDescent="0.2">
      <c r="T70" s="1"/>
    </row>
    <row r="71" spans="20:20" ht="15" customHeight="1" x14ac:dyDescent="0.2">
      <c r="T71" s="1"/>
    </row>
    <row r="72" spans="20:20" ht="15" customHeight="1" x14ac:dyDescent="0.2">
      <c r="T72" s="1"/>
    </row>
    <row r="73" spans="20:20" ht="15" customHeight="1" x14ac:dyDescent="0.2">
      <c r="T73" s="1"/>
    </row>
    <row r="74" spans="20:20" ht="15" customHeight="1" x14ac:dyDescent="0.2">
      <c r="T74" s="1"/>
    </row>
    <row r="75" spans="20:20" ht="15" customHeight="1" x14ac:dyDescent="0.2">
      <c r="T75" s="1"/>
    </row>
    <row r="76" spans="20:20" ht="15" customHeight="1" x14ac:dyDescent="0.2">
      <c r="T76" s="1"/>
    </row>
    <row r="77" spans="20:20" ht="15" customHeight="1" x14ac:dyDescent="0.2">
      <c r="T77" s="1"/>
    </row>
    <row r="78" spans="20:20" ht="15" customHeight="1" x14ac:dyDescent="0.2">
      <c r="T78" s="1"/>
    </row>
    <row r="79" spans="20:20" ht="15" customHeight="1" x14ac:dyDescent="0.2">
      <c r="T79" s="1"/>
    </row>
    <row r="80" spans="20:20" ht="15" customHeight="1" x14ac:dyDescent="0.2">
      <c r="T80" s="1"/>
    </row>
    <row r="81" spans="20:20" ht="15" customHeight="1" x14ac:dyDescent="0.2">
      <c r="T81" s="1"/>
    </row>
    <row r="82" spans="20:20" ht="15" customHeight="1" x14ac:dyDescent="0.2">
      <c r="T82" s="1"/>
    </row>
    <row r="83" spans="20:20" ht="15" customHeight="1" x14ac:dyDescent="0.2">
      <c r="T83" s="1"/>
    </row>
    <row r="84" spans="20:20" ht="15" customHeight="1" x14ac:dyDescent="0.2">
      <c r="T84" s="1"/>
    </row>
    <row r="85" spans="20:20" ht="15" customHeight="1" x14ac:dyDescent="0.2">
      <c r="T85" s="1"/>
    </row>
    <row r="86" spans="20:20" ht="15" customHeight="1" x14ac:dyDescent="0.2">
      <c r="T86" s="1"/>
    </row>
    <row r="87" spans="20:20" ht="15" customHeight="1" x14ac:dyDescent="0.2">
      <c r="T87" s="1"/>
    </row>
    <row r="88" spans="20:20" ht="15" customHeight="1" x14ac:dyDescent="0.2">
      <c r="T88" s="1"/>
    </row>
    <row r="89" spans="20:20" ht="15" customHeight="1" x14ac:dyDescent="0.2">
      <c r="T89" s="1"/>
    </row>
    <row r="90" spans="20:20" ht="15" customHeight="1" x14ac:dyDescent="0.2">
      <c r="T90" s="1"/>
    </row>
    <row r="91" spans="20:20" ht="15" customHeight="1" x14ac:dyDescent="0.2">
      <c r="T91" s="1"/>
    </row>
    <row r="92" spans="20:20" ht="15" customHeight="1" x14ac:dyDescent="0.2">
      <c r="T92" s="1"/>
    </row>
    <row r="93" spans="20:20" ht="15" customHeight="1" x14ac:dyDescent="0.2">
      <c r="T93" s="1"/>
    </row>
    <row r="94" spans="20:20" ht="15" customHeight="1" x14ac:dyDescent="0.2">
      <c r="T94" s="1"/>
    </row>
    <row r="95" spans="20:20" ht="15" customHeight="1" x14ac:dyDescent="0.2">
      <c r="T95" s="1"/>
    </row>
    <row r="96" spans="20:20" ht="15" customHeight="1" x14ac:dyDescent="0.2">
      <c r="T96" s="1"/>
    </row>
    <row r="97" spans="20:20" ht="15" customHeight="1" x14ac:dyDescent="0.2">
      <c r="T97" s="1"/>
    </row>
    <row r="98" spans="20:20" ht="15" customHeight="1" x14ac:dyDescent="0.2">
      <c r="T98" s="1"/>
    </row>
    <row r="99" spans="20:20" ht="15" customHeight="1" x14ac:dyDescent="0.2">
      <c r="T99" s="1"/>
    </row>
    <row r="100" spans="20:20" ht="15" customHeight="1" x14ac:dyDescent="0.2">
      <c r="T100" s="1"/>
    </row>
    <row r="101" spans="20:20" ht="15" customHeight="1" x14ac:dyDescent="0.2">
      <c r="T101" s="1"/>
    </row>
    <row r="102" spans="20:20" ht="15" customHeight="1" x14ac:dyDescent="0.2">
      <c r="T102" s="1"/>
    </row>
    <row r="103" spans="20:20" ht="15" customHeight="1" x14ac:dyDescent="0.2">
      <c r="T103" s="1"/>
    </row>
    <row r="104" spans="20:20" ht="15" customHeight="1" x14ac:dyDescent="0.2">
      <c r="T104" s="1"/>
    </row>
    <row r="105" spans="20:20" ht="15" customHeight="1" x14ac:dyDescent="0.2">
      <c r="T105" s="1"/>
    </row>
    <row r="106" spans="20:20" ht="15" customHeight="1" x14ac:dyDescent="0.2">
      <c r="T106" s="1"/>
    </row>
    <row r="107" spans="20:20" ht="15" customHeight="1" x14ac:dyDescent="0.2">
      <c r="T107" s="1"/>
    </row>
    <row r="108" spans="20:20" ht="15" customHeight="1" x14ac:dyDescent="0.2">
      <c r="T108" s="1"/>
    </row>
    <row r="109" spans="20:20" ht="15" customHeight="1" x14ac:dyDescent="0.2">
      <c r="T109" s="1"/>
    </row>
    <row r="110" spans="20:20" ht="15" customHeight="1" x14ac:dyDescent="0.2">
      <c r="T110" s="1"/>
    </row>
    <row r="111" spans="20:20" ht="15" customHeight="1" x14ac:dyDescent="0.2">
      <c r="T111" s="1"/>
    </row>
    <row r="112" spans="20:20" ht="15" customHeight="1" x14ac:dyDescent="0.2">
      <c r="T112" s="1"/>
    </row>
    <row r="113" spans="20:20" ht="15" customHeight="1" x14ac:dyDescent="0.2">
      <c r="T113" s="1"/>
    </row>
    <row r="114" spans="20:20" ht="15" customHeight="1" x14ac:dyDescent="0.2">
      <c r="T114" s="1"/>
    </row>
    <row r="115" spans="20:20" ht="15" customHeight="1" x14ac:dyDescent="0.2">
      <c r="T115" s="1"/>
    </row>
    <row r="116" spans="20:20" ht="15" customHeight="1" x14ac:dyDescent="0.2">
      <c r="T116" s="1"/>
    </row>
    <row r="117" spans="20:20" ht="15" customHeight="1" x14ac:dyDescent="0.2">
      <c r="T117" s="1"/>
    </row>
    <row r="118" spans="20:20" ht="15" customHeight="1" x14ac:dyDescent="0.2">
      <c r="T118" s="1"/>
    </row>
    <row r="119" spans="20:20" ht="15" customHeight="1" x14ac:dyDescent="0.2">
      <c r="T119" s="1"/>
    </row>
    <row r="120" spans="20:20" ht="15" customHeight="1" x14ac:dyDescent="0.2">
      <c r="T120" s="1"/>
    </row>
    <row r="121" spans="20:20" ht="15" customHeight="1" x14ac:dyDescent="0.2">
      <c r="T121" s="1"/>
    </row>
    <row r="122" spans="20:20" ht="15" customHeight="1" x14ac:dyDescent="0.2">
      <c r="T122" s="1"/>
    </row>
    <row r="123" spans="20:20" ht="15" customHeight="1" x14ac:dyDescent="0.2">
      <c r="T123" s="1"/>
    </row>
    <row r="124" spans="20:20" ht="15" customHeight="1" x14ac:dyDescent="0.2">
      <c r="T124" s="1"/>
    </row>
    <row r="125" spans="20:20" ht="15" customHeight="1" x14ac:dyDescent="0.2">
      <c r="T125" s="1"/>
    </row>
    <row r="126" spans="20:20" ht="15" customHeight="1" x14ac:dyDescent="0.2">
      <c r="T126" s="1"/>
    </row>
    <row r="127" spans="20:20" ht="15" customHeight="1" x14ac:dyDescent="0.2">
      <c r="T127" s="1"/>
    </row>
    <row r="128" spans="20:20" ht="15" customHeight="1" x14ac:dyDescent="0.2">
      <c r="T128" s="1"/>
    </row>
    <row r="129" spans="20:20" ht="15" customHeight="1" x14ac:dyDescent="0.2">
      <c r="T129" s="1"/>
    </row>
    <row r="130" spans="20:20" ht="15" customHeight="1" x14ac:dyDescent="0.2">
      <c r="T130" s="1"/>
    </row>
    <row r="131" spans="20:20" ht="15" customHeight="1" x14ac:dyDescent="0.2">
      <c r="T131" s="1"/>
    </row>
    <row r="132" spans="20:20" ht="15" customHeight="1" x14ac:dyDescent="0.2">
      <c r="T132" s="1"/>
    </row>
    <row r="133" spans="20:20" ht="15" customHeight="1" x14ac:dyDescent="0.2">
      <c r="T133" s="1"/>
    </row>
    <row r="134" spans="20:20" ht="15" customHeight="1" x14ac:dyDescent="0.2">
      <c r="T134" s="1"/>
    </row>
    <row r="135" spans="20:20" ht="15" customHeight="1" x14ac:dyDescent="0.2">
      <c r="T135" s="1"/>
    </row>
    <row r="136" spans="20:20" ht="15" customHeight="1" x14ac:dyDescent="0.2">
      <c r="T136" s="1"/>
    </row>
    <row r="137" spans="20:20" ht="15" customHeight="1" x14ac:dyDescent="0.2">
      <c r="T137" s="1"/>
    </row>
    <row r="138" spans="20:20" ht="15" customHeight="1" x14ac:dyDescent="0.2">
      <c r="T138" s="1"/>
    </row>
    <row r="139" spans="20:20" ht="15" customHeight="1" x14ac:dyDescent="0.2">
      <c r="T139" s="1"/>
    </row>
    <row r="140" spans="20:20" ht="15" customHeight="1" x14ac:dyDescent="0.2">
      <c r="T140" s="1"/>
    </row>
    <row r="141" spans="20:20" ht="15" customHeight="1" x14ac:dyDescent="0.2">
      <c r="T141" s="1"/>
    </row>
    <row r="142" spans="20:20" ht="15" customHeight="1" x14ac:dyDescent="0.2">
      <c r="T142" s="1"/>
    </row>
    <row r="143" spans="20:20" ht="15" customHeight="1" x14ac:dyDescent="0.2">
      <c r="T143" s="1"/>
    </row>
    <row r="144" spans="20:20" ht="15" customHeight="1" x14ac:dyDescent="0.2">
      <c r="T144" s="1"/>
    </row>
    <row r="145" spans="20:20" ht="15" customHeight="1" x14ac:dyDescent="0.2">
      <c r="T145" s="1"/>
    </row>
    <row r="146" spans="20:20" ht="15" customHeight="1" x14ac:dyDescent="0.2">
      <c r="T146" s="1"/>
    </row>
    <row r="147" spans="20:20" ht="15" customHeight="1" x14ac:dyDescent="0.2">
      <c r="T147" s="1"/>
    </row>
    <row r="148" spans="20:20" ht="15" customHeight="1" x14ac:dyDescent="0.2">
      <c r="T148" s="1"/>
    </row>
    <row r="149" spans="20:20" ht="15" customHeight="1" x14ac:dyDescent="0.2">
      <c r="T149" s="1"/>
    </row>
    <row r="150" spans="20:20" ht="15" customHeight="1" x14ac:dyDescent="0.2">
      <c r="T150" s="1"/>
    </row>
    <row r="151" spans="20:20" ht="15" customHeight="1" x14ac:dyDescent="0.2">
      <c r="T151" s="1"/>
    </row>
    <row r="152" spans="20:20" ht="15" customHeight="1" x14ac:dyDescent="0.2">
      <c r="T152" s="1"/>
    </row>
    <row r="153" spans="20:20" ht="15" customHeight="1" x14ac:dyDescent="0.2">
      <c r="T153" s="1"/>
    </row>
    <row r="154" spans="20:20" ht="15" customHeight="1" x14ac:dyDescent="0.2">
      <c r="T154" s="1"/>
    </row>
    <row r="155" spans="20:20" ht="15" customHeight="1" x14ac:dyDescent="0.2">
      <c r="T155" s="1"/>
    </row>
    <row r="156" spans="20:20" ht="15" customHeight="1" x14ac:dyDescent="0.2">
      <c r="T156" s="1"/>
    </row>
    <row r="157" spans="20:20" ht="15" customHeight="1" x14ac:dyDescent="0.2">
      <c r="T157" s="1"/>
    </row>
    <row r="158" spans="20:20" ht="15" customHeight="1" x14ac:dyDescent="0.2">
      <c r="T158" s="1"/>
    </row>
    <row r="159" spans="20:20" ht="15" customHeight="1" x14ac:dyDescent="0.2">
      <c r="T159" s="1"/>
    </row>
    <row r="160" spans="20:20" ht="15" customHeight="1" x14ac:dyDescent="0.2">
      <c r="T160" s="1"/>
    </row>
    <row r="161" spans="20:20" ht="15" customHeight="1" x14ac:dyDescent="0.2">
      <c r="T161" s="1"/>
    </row>
    <row r="162" spans="20:20" ht="15" customHeight="1" x14ac:dyDescent="0.2">
      <c r="T162" s="1"/>
    </row>
    <row r="163" spans="20:20" ht="15" customHeight="1" x14ac:dyDescent="0.2">
      <c r="T163" s="1"/>
    </row>
    <row r="164" spans="20:20" ht="15" customHeight="1" x14ac:dyDescent="0.2">
      <c r="T164" s="1"/>
    </row>
    <row r="165" spans="20:20" ht="15" customHeight="1" x14ac:dyDescent="0.2">
      <c r="T165" s="1"/>
    </row>
    <row r="166" spans="20:20" ht="15" customHeight="1" x14ac:dyDescent="0.2">
      <c r="T166" s="1"/>
    </row>
    <row r="167" spans="20:20" ht="15" customHeight="1" x14ac:dyDescent="0.2">
      <c r="T167" s="1"/>
    </row>
    <row r="168" spans="20:20" ht="15" customHeight="1" x14ac:dyDescent="0.2">
      <c r="T168" s="1"/>
    </row>
    <row r="169" spans="20:20" ht="15" customHeight="1" x14ac:dyDescent="0.2">
      <c r="T169" s="1"/>
    </row>
    <row r="170" spans="20:20" ht="15" customHeight="1" x14ac:dyDescent="0.2">
      <c r="T170" s="1"/>
    </row>
    <row r="171" spans="20:20" ht="15" customHeight="1" x14ac:dyDescent="0.2">
      <c r="T171" s="1"/>
    </row>
    <row r="172" spans="20:20" ht="15" customHeight="1" x14ac:dyDescent="0.2">
      <c r="T172" s="1"/>
    </row>
    <row r="173" spans="20:20" ht="15" customHeight="1" x14ac:dyDescent="0.2">
      <c r="T173" s="1"/>
    </row>
    <row r="174" spans="20:20" ht="15" customHeight="1" x14ac:dyDescent="0.2">
      <c r="T174" s="1"/>
    </row>
    <row r="175" spans="20:20" ht="15" customHeight="1" x14ac:dyDescent="0.2">
      <c r="T175" s="1"/>
    </row>
    <row r="176" spans="20:20" ht="15" customHeight="1" x14ac:dyDescent="0.2">
      <c r="T176" s="1"/>
    </row>
    <row r="177" spans="20:20" ht="15" customHeight="1" x14ac:dyDescent="0.2">
      <c r="T177" s="1"/>
    </row>
    <row r="178" spans="20:20" ht="15" customHeight="1" x14ac:dyDescent="0.2">
      <c r="T178" s="1"/>
    </row>
    <row r="179" spans="20:20" ht="15" customHeight="1" x14ac:dyDescent="0.2">
      <c r="T179" s="1"/>
    </row>
    <row r="180" spans="20:20" ht="15" customHeight="1" x14ac:dyDescent="0.2">
      <c r="T180" s="1"/>
    </row>
    <row r="181" spans="20:20" ht="15" customHeight="1" x14ac:dyDescent="0.2">
      <c r="T181" s="1"/>
    </row>
    <row r="182" spans="20:20" ht="15" customHeight="1" x14ac:dyDescent="0.2">
      <c r="T182" s="1"/>
    </row>
    <row r="183" spans="20:20" ht="15" customHeight="1" x14ac:dyDescent="0.2">
      <c r="T183" s="1"/>
    </row>
    <row r="184" spans="20:20" ht="15" customHeight="1" x14ac:dyDescent="0.2">
      <c r="T184" s="1"/>
    </row>
    <row r="185" spans="20:20" ht="15" customHeight="1" x14ac:dyDescent="0.2">
      <c r="T185" s="1"/>
    </row>
    <row r="186" spans="20:20" ht="15" customHeight="1" x14ac:dyDescent="0.2">
      <c r="T186" s="1"/>
    </row>
    <row r="187" spans="20:20" ht="15" customHeight="1" x14ac:dyDescent="0.2">
      <c r="T187" s="1"/>
    </row>
    <row r="188" spans="20:20" ht="15" customHeight="1" x14ac:dyDescent="0.2">
      <c r="T188" s="1"/>
    </row>
    <row r="189" spans="20:20" ht="15" customHeight="1" x14ac:dyDescent="0.2">
      <c r="T189" s="1"/>
    </row>
    <row r="190" spans="20:20" ht="15" customHeight="1" x14ac:dyDescent="0.2">
      <c r="T190" s="1"/>
    </row>
    <row r="191" spans="20:20" ht="15" customHeight="1" x14ac:dyDescent="0.2">
      <c r="T191" s="1"/>
    </row>
    <row r="192" spans="20:20" ht="15" customHeight="1" x14ac:dyDescent="0.2">
      <c r="T192" s="1"/>
    </row>
  </sheetData>
  <sortState ref="A27:T46">
    <sortCondition descending="1" ref="T27:T46"/>
  </sortState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3"/>
  <sheetViews>
    <sheetView topLeftCell="A7" zoomScaleNormal="100" workbookViewId="0">
      <selection activeCell="I7" sqref="I7"/>
    </sheetView>
  </sheetViews>
  <sheetFormatPr defaultColWidth="9.140625" defaultRowHeight="15" customHeight="1" x14ac:dyDescent="0.2"/>
  <cols>
    <col min="1" max="1" width="21.140625" customWidth="1"/>
    <col min="2" max="2" width="10.140625" customWidth="1"/>
    <col min="3" max="3" width="8.42578125" customWidth="1"/>
    <col min="4" max="4" width="7.28515625" customWidth="1"/>
    <col min="5" max="5" width="1" customWidth="1"/>
    <col min="6" max="7" width="7.28515625" customWidth="1"/>
    <col min="8" max="8" width="1.140625" customWidth="1"/>
    <col min="9" max="10" width="7.28515625" customWidth="1"/>
    <col min="11" max="11" width="1.28515625" customWidth="1"/>
    <col min="12" max="13" width="7.28515625" customWidth="1"/>
    <col min="14" max="14" width="1" customWidth="1"/>
    <col min="15" max="16" width="7.28515625" customWidth="1"/>
    <col min="17" max="17" width="1.28515625" customWidth="1"/>
    <col min="18" max="18" width="7.28515625" style="16" customWidth="1"/>
    <col min="19" max="19" width="7.28515625" customWidth="1"/>
    <col min="20" max="20" width="7.5703125" bestFit="1" customWidth="1"/>
  </cols>
  <sheetData>
    <row r="1" spans="1:20" ht="34.5" x14ac:dyDescent="0.45">
      <c r="B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spans="1:20" ht="15" customHeight="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3"/>
      <c r="T2" s="3"/>
    </row>
    <row r="3" spans="1:20" ht="15" customHeight="1" x14ac:dyDescent="0.25">
      <c r="A3" s="10"/>
      <c r="B3" s="3"/>
      <c r="C3" s="20" t="s">
        <v>7</v>
      </c>
      <c r="D3" s="20"/>
      <c r="E3" s="20"/>
      <c r="F3" s="20" t="s">
        <v>18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8"/>
      <c r="T3" s="18"/>
    </row>
    <row r="4" spans="1:20" ht="15" customHeight="1" x14ac:dyDescent="0.2">
      <c r="A4" s="10"/>
      <c r="B4" s="3"/>
      <c r="C4" s="26">
        <v>42686</v>
      </c>
      <c r="D4" s="3"/>
      <c r="E4" s="3"/>
      <c r="F4" s="26">
        <v>42700</v>
      </c>
      <c r="G4" s="3"/>
      <c r="H4" s="3"/>
      <c r="I4" s="26"/>
      <c r="J4" s="3"/>
      <c r="K4" s="3"/>
      <c r="L4" s="26"/>
      <c r="M4" s="3"/>
      <c r="N4" s="3"/>
      <c r="O4" s="26"/>
      <c r="P4" s="3"/>
      <c r="Q4" s="3"/>
      <c r="R4" s="18"/>
      <c r="S4" s="18"/>
      <c r="T4" s="18"/>
    </row>
    <row r="5" spans="1:20" ht="15" customHeight="1" x14ac:dyDescent="0.2">
      <c r="A5" s="10"/>
      <c r="B5" s="3" t="s">
        <v>4</v>
      </c>
      <c r="C5" s="3" t="s">
        <v>0</v>
      </c>
      <c r="D5" s="3" t="s">
        <v>5</v>
      </c>
      <c r="E5" s="3"/>
      <c r="F5" s="3" t="s">
        <v>0</v>
      </c>
      <c r="G5" s="3" t="s">
        <v>5</v>
      </c>
      <c r="H5" s="3"/>
      <c r="I5" s="3" t="s">
        <v>0</v>
      </c>
      <c r="J5" s="3" t="s">
        <v>5</v>
      </c>
      <c r="K5" s="3"/>
      <c r="L5" s="3" t="s">
        <v>0</v>
      </c>
      <c r="M5" s="3" t="s">
        <v>5</v>
      </c>
      <c r="N5" s="3"/>
      <c r="O5" s="3" t="s">
        <v>0</v>
      </c>
      <c r="P5" s="3" t="s">
        <v>5</v>
      </c>
      <c r="Q5" s="3"/>
      <c r="R5" s="18" t="s">
        <v>0</v>
      </c>
      <c r="S5" s="18" t="s">
        <v>5</v>
      </c>
      <c r="T5" s="18" t="s">
        <v>1</v>
      </c>
    </row>
    <row r="6" spans="1:20" ht="15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</row>
    <row r="7" spans="1:20" ht="23.25" x14ac:dyDescent="0.35">
      <c r="A7" s="4" t="s">
        <v>2</v>
      </c>
      <c r="B7" s="4"/>
      <c r="C7" s="3"/>
      <c r="D7" s="3"/>
      <c r="E7" s="5"/>
      <c r="F7" s="3"/>
      <c r="G7" s="3"/>
      <c r="H7" s="5"/>
      <c r="I7" s="3"/>
      <c r="J7" s="3"/>
      <c r="K7" s="5"/>
      <c r="L7" s="3"/>
      <c r="M7" s="3"/>
      <c r="N7" s="5"/>
      <c r="O7" s="3"/>
      <c r="P7" s="3"/>
      <c r="Q7" s="3"/>
      <c r="R7" s="18"/>
      <c r="S7" s="18"/>
      <c r="T7" s="18"/>
    </row>
    <row r="8" spans="1:20" ht="15" customHeight="1" x14ac:dyDescent="0.2">
      <c r="A8" s="71" t="s">
        <v>86</v>
      </c>
      <c r="B8" s="56" t="s">
        <v>89</v>
      </c>
      <c r="C8" s="72">
        <v>4.6851851851851846E-2</v>
      </c>
      <c r="D8" s="52">
        <v>100</v>
      </c>
      <c r="E8" s="23"/>
      <c r="F8" s="55"/>
      <c r="G8" s="54"/>
      <c r="H8" s="23"/>
      <c r="I8" s="62"/>
      <c r="J8" s="54"/>
      <c r="K8" s="23"/>
      <c r="L8" s="54"/>
      <c r="M8" s="54"/>
      <c r="N8" s="23"/>
      <c r="O8" s="23"/>
      <c r="P8" s="23"/>
      <c r="Q8" s="23"/>
      <c r="R8" s="51"/>
      <c r="S8" s="51"/>
      <c r="T8" s="34">
        <f t="shared" ref="T8:T15" si="0">((((D8+G8)+J8)+M8)+P8)+S8</f>
        <v>100</v>
      </c>
    </row>
    <row r="9" spans="1:20" ht="15" customHeight="1" x14ac:dyDescent="0.2">
      <c r="A9" s="71" t="s">
        <v>107</v>
      </c>
      <c r="B9" s="54" t="s">
        <v>28</v>
      </c>
      <c r="C9" s="72">
        <v>5.724537037037037E-2</v>
      </c>
      <c r="D9" s="23">
        <v>85</v>
      </c>
      <c r="E9" s="23"/>
      <c r="F9" s="55"/>
      <c r="G9" s="54"/>
      <c r="H9" s="23"/>
      <c r="I9" s="23"/>
      <c r="J9" s="23"/>
      <c r="K9" s="23"/>
      <c r="L9" s="54"/>
      <c r="M9" s="54"/>
      <c r="N9" s="23"/>
      <c r="O9" s="54"/>
      <c r="P9" s="54"/>
      <c r="Q9" s="23"/>
      <c r="R9" s="51"/>
      <c r="S9" s="51"/>
      <c r="T9" s="34">
        <f t="shared" si="0"/>
        <v>85</v>
      </c>
    </row>
    <row r="10" spans="1:20" ht="15" customHeight="1" x14ac:dyDescent="0.2">
      <c r="A10" s="71" t="s">
        <v>87</v>
      </c>
      <c r="B10" s="56" t="s">
        <v>89</v>
      </c>
      <c r="C10" s="71" t="s">
        <v>36</v>
      </c>
      <c r="D10" s="52"/>
      <c r="E10" s="23"/>
      <c r="F10" s="55"/>
      <c r="G10" s="54"/>
      <c r="H10" s="23"/>
      <c r="I10" s="23"/>
      <c r="J10" s="23"/>
      <c r="K10" s="23"/>
      <c r="L10" s="54"/>
      <c r="M10" s="54"/>
      <c r="N10" s="23"/>
      <c r="O10" s="23"/>
      <c r="P10" s="23"/>
      <c r="Q10" s="23"/>
      <c r="R10" s="51"/>
      <c r="S10" s="51"/>
      <c r="T10" s="34">
        <f t="shared" si="0"/>
        <v>0</v>
      </c>
    </row>
    <row r="11" spans="1:20" ht="15" customHeight="1" x14ac:dyDescent="0.2">
      <c r="A11" s="71" t="s">
        <v>88</v>
      </c>
      <c r="B11" s="56" t="s">
        <v>28</v>
      </c>
      <c r="C11" s="71" t="s">
        <v>36</v>
      </c>
      <c r="D11" s="52"/>
      <c r="E11" s="23"/>
      <c r="F11" s="23"/>
      <c r="G11" s="23"/>
      <c r="H11" s="23"/>
      <c r="I11" s="23"/>
      <c r="J11" s="23"/>
      <c r="K11" s="23"/>
      <c r="L11" s="54"/>
      <c r="M11" s="54"/>
      <c r="N11" s="23"/>
      <c r="O11" s="23"/>
      <c r="P11" s="23"/>
      <c r="Q11" s="23"/>
      <c r="R11" s="51"/>
      <c r="S11" s="51"/>
      <c r="T11" s="34">
        <f t="shared" si="0"/>
        <v>0</v>
      </c>
    </row>
    <row r="12" spans="1:20" ht="15" customHeight="1" x14ac:dyDescent="0.2">
      <c r="A12" s="54"/>
      <c r="B12" s="54"/>
      <c r="C12" s="54"/>
      <c r="D12" s="23"/>
      <c r="E12" s="23"/>
      <c r="F12" s="25"/>
      <c r="G12" s="23"/>
      <c r="H12" s="23"/>
      <c r="I12" s="23"/>
      <c r="J12" s="23"/>
      <c r="K12" s="23"/>
      <c r="L12" s="54"/>
      <c r="M12" s="54"/>
      <c r="N12" s="23"/>
      <c r="O12" s="54"/>
      <c r="P12" s="54"/>
      <c r="Q12" s="23"/>
      <c r="R12" s="51"/>
      <c r="S12" s="51"/>
      <c r="T12" s="34">
        <f t="shared" si="0"/>
        <v>0</v>
      </c>
    </row>
    <row r="13" spans="1:20" ht="15" customHeight="1" x14ac:dyDescent="0.2">
      <c r="A13" s="54"/>
      <c r="B13" s="54"/>
      <c r="C13" s="23"/>
      <c r="D13" s="23"/>
      <c r="E13" s="23"/>
      <c r="F13" s="23"/>
      <c r="G13" s="23"/>
      <c r="H13" s="23"/>
      <c r="I13" s="23"/>
      <c r="J13" s="23"/>
      <c r="K13" s="23"/>
      <c r="L13" s="54"/>
      <c r="M13" s="54"/>
      <c r="N13" s="23"/>
      <c r="O13" s="54"/>
      <c r="P13" s="54"/>
      <c r="Q13" s="23"/>
      <c r="R13" s="51"/>
      <c r="S13" s="51"/>
      <c r="T13" s="34">
        <f t="shared" si="0"/>
        <v>0</v>
      </c>
    </row>
    <row r="14" spans="1:20" ht="15" customHeight="1" x14ac:dyDescent="0.2">
      <c r="A14" s="54"/>
      <c r="B14" s="54"/>
      <c r="C14" s="23"/>
      <c r="D14" s="23"/>
      <c r="E14" s="23"/>
      <c r="F14" s="25"/>
      <c r="G14" s="23"/>
      <c r="H14" s="23"/>
      <c r="I14" s="23"/>
      <c r="J14" s="23"/>
      <c r="K14" s="23"/>
      <c r="L14" s="54"/>
      <c r="M14" s="54"/>
      <c r="N14" s="23"/>
      <c r="O14" s="54"/>
      <c r="P14" s="54"/>
      <c r="Q14" s="23"/>
      <c r="R14" s="51"/>
      <c r="S14" s="51"/>
      <c r="T14" s="34">
        <f t="shared" si="0"/>
        <v>0</v>
      </c>
    </row>
    <row r="15" spans="1:20" ht="15" customHeight="1" x14ac:dyDescent="0.2">
      <c r="A15" s="56"/>
      <c r="B15" s="56"/>
      <c r="C15" s="52"/>
      <c r="D15" s="52"/>
      <c r="E15" s="23"/>
      <c r="F15" s="27"/>
      <c r="G15" s="67"/>
      <c r="H15" s="23"/>
      <c r="I15" s="23"/>
      <c r="J15" s="23"/>
      <c r="K15" s="23"/>
      <c r="L15" s="54"/>
      <c r="M15" s="54"/>
      <c r="N15" s="23"/>
      <c r="O15" s="54"/>
      <c r="P15" s="54"/>
      <c r="Q15" s="23"/>
      <c r="R15" s="51"/>
      <c r="S15" s="51"/>
      <c r="T15" s="34">
        <f t="shared" si="0"/>
        <v>0</v>
      </c>
    </row>
    <row r="16" spans="1:20" ht="15" customHeight="1" x14ac:dyDescent="0.2">
      <c r="A16" s="56"/>
      <c r="B16" s="56"/>
      <c r="C16" s="52"/>
      <c r="D16" s="52"/>
      <c r="E16" s="23"/>
      <c r="F16" s="27"/>
      <c r="G16" s="67"/>
      <c r="H16" s="23"/>
      <c r="I16" s="23"/>
      <c r="J16" s="23"/>
      <c r="K16" s="23"/>
      <c r="L16" s="54"/>
      <c r="M16" s="54"/>
      <c r="N16" s="23"/>
      <c r="O16" s="54"/>
      <c r="P16" s="54"/>
      <c r="Q16" s="23"/>
      <c r="R16" s="51"/>
      <c r="S16" s="51"/>
      <c r="T16" s="34"/>
    </row>
    <row r="17" spans="1:20" ht="15" customHeight="1" x14ac:dyDescent="0.2">
      <c r="A17" s="23"/>
      <c r="B17" s="23"/>
      <c r="C17" s="23"/>
      <c r="D17" s="23"/>
      <c r="E17" s="23"/>
      <c r="F17" s="25"/>
      <c r="G17" s="23"/>
      <c r="H17" s="23"/>
      <c r="I17" s="23"/>
      <c r="J17" s="23"/>
      <c r="K17" s="23"/>
      <c r="L17" s="54"/>
      <c r="M17" s="54"/>
      <c r="N17" s="23"/>
      <c r="O17" s="23"/>
      <c r="P17" s="23"/>
      <c r="Q17" s="23"/>
      <c r="R17" s="51"/>
      <c r="S17" s="51"/>
      <c r="T17" s="19"/>
    </row>
    <row r="18" spans="1:20" ht="15" customHeight="1" x14ac:dyDescent="0.2">
      <c r="A18" s="23"/>
      <c r="B18" s="23"/>
      <c r="C18" s="23"/>
      <c r="D18" s="23"/>
      <c r="E18" s="23"/>
      <c r="F18" s="25"/>
      <c r="G18" s="23"/>
      <c r="H18" s="23"/>
      <c r="I18" s="23"/>
      <c r="J18" s="23"/>
      <c r="K18" s="23"/>
      <c r="L18" s="54"/>
      <c r="M18" s="54"/>
      <c r="N18" s="23"/>
      <c r="O18" s="23"/>
      <c r="P18" s="23"/>
      <c r="Q18" s="23"/>
      <c r="R18" s="51"/>
      <c r="S18" s="51"/>
      <c r="T18" s="19"/>
    </row>
    <row r="19" spans="1:20" ht="15" customHeight="1" x14ac:dyDescent="0.2">
      <c r="A19" s="3"/>
      <c r="B19" s="3"/>
      <c r="C19" s="3"/>
      <c r="D19" s="3"/>
      <c r="E19" s="5"/>
      <c r="F19" s="9"/>
      <c r="G19" s="3"/>
      <c r="H19" s="5"/>
      <c r="I19" s="3"/>
      <c r="J19" s="3"/>
      <c r="K19" s="5"/>
      <c r="L19" s="7"/>
      <c r="M19" s="7"/>
      <c r="N19" s="5"/>
      <c r="O19" s="3"/>
      <c r="P19" s="3"/>
      <c r="Q19" s="5"/>
      <c r="R19" s="18"/>
      <c r="S19" s="18"/>
      <c r="T19" s="19"/>
    </row>
    <row r="20" spans="1:20" ht="23.25" x14ac:dyDescent="0.35">
      <c r="A20" s="4" t="s">
        <v>14</v>
      </c>
      <c r="B20" s="3"/>
      <c r="C20" s="3"/>
      <c r="D20" s="3"/>
      <c r="E20" s="5"/>
      <c r="F20" s="9"/>
      <c r="G20" s="3"/>
      <c r="H20" s="5"/>
      <c r="I20" s="3"/>
      <c r="J20" s="3"/>
      <c r="K20" s="5"/>
      <c r="L20" s="3"/>
      <c r="M20" s="3"/>
      <c r="N20" s="5"/>
      <c r="O20" s="3"/>
      <c r="P20" s="3"/>
      <c r="Q20" s="5"/>
      <c r="R20" s="18"/>
      <c r="S20" s="18"/>
      <c r="T20" s="18"/>
    </row>
    <row r="21" spans="1:20" ht="15" customHeight="1" x14ac:dyDescent="0.2">
      <c r="A21" s="71" t="s">
        <v>83</v>
      </c>
      <c r="B21" s="71" t="s">
        <v>26</v>
      </c>
      <c r="C21" s="72">
        <v>4.6296296296296301E-2</v>
      </c>
      <c r="D21" s="23">
        <v>100</v>
      </c>
      <c r="E21" s="23"/>
      <c r="F21" s="55"/>
      <c r="G21" s="54"/>
      <c r="H21" s="23"/>
      <c r="I21" s="62"/>
      <c r="J21" s="54"/>
      <c r="K21" s="23"/>
      <c r="L21" s="54"/>
      <c r="M21" s="54"/>
      <c r="N21" s="23"/>
      <c r="O21" s="23"/>
      <c r="P21" s="23"/>
      <c r="Q21" s="23"/>
      <c r="R21" s="51"/>
      <c r="S21" s="51"/>
      <c r="T21" s="34">
        <f t="shared" ref="T21:T39" si="1">((((D21+G21)+J21)+M21)+P21)+S21</f>
        <v>100</v>
      </c>
    </row>
    <row r="22" spans="1:20" ht="15" customHeight="1" x14ac:dyDescent="0.2">
      <c r="A22" s="71" t="s">
        <v>84</v>
      </c>
      <c r="B22" s="71" t="s">
        <v>26</v>
      </c>
      <c r="C22" s="72">
        <v>5.9571759259259262E-2</v>
      </c>
      <c r="D22" s="23">
        <v>80</v>
      </c>
      <c r="E22" s="23"/>
      <c r="F22" s="55"/>
      <c r="G22" s="54"/>
      <c r="H22" s="23"/>
      <c r="I22" s="62"/>
      <c r="J22" s="54"/>
      <c r="K22" s="23"/>
      <c r="L22" s="54"/>
      <c r="M22" s="54"/>
      <c r="N22" s="23"/>
      <c r="O22" s="23"/>
      <c r="P22" s="23"/>
      <c r="Q22" s="23"/>
      <c r="R22" s="51"/>
      <c r="S22" s="51"/>
      <c r="T22" s="34">
        <f t="shared" si="1"/>
        <v>80</v>
      </c>
    </row>
    <row r="23" spans="1:20" ht="15" customHeight="1" x14ac:dyDescent="0.2">
      <c r="A23" s="71" t="s">
        <v>85</v>
      </c>
      <c r="B23" s="71" t="s">
        <v>26</v>
      </c>
      <c r="C23" s="72">
        <v>6.008101851851852E-2</v>
      </c>
      <c r="D23" s="68">
        <v>80</v>
      </c>
      <c r="E23" s="23"/>
      <c r="F23" s="55"/>
      <c r="G23" s="54"/>
      <c r="H23" s="23"/>
      <c r="I23" s="54"/>
      <c r="J23" s="54"/>
      <c r="K23" s="23"/>
      <c r="L23" s="54"/>
      <c r="M23" s="54"/>
      <c r="N23" s="23"/>
      <c r="O23" s="23"/>
      <c r="P23" s="23"/>
      <c r="Q23" s="23"/>
      <c r="R23" s="51"/>
      <c r="S23" s="51"/>
      <c r="T23" s="34">
        <f t="shared" si="1"/>
        <v>80</v>
      </c>
    </row>
    <row r="24" spans="1:20" ht="15" customHeight="1" x14ac:dyDescent="0.2">
      <c r="A24" s="56"/>
      <c r="B24" s="56"/>
      <c r="C24" s="52"/>
      <c r="D24" s="52"/>
      <c r="E24" s="23"/>
      <c r="F24" s="55"/>
      <c r="G24" s="54"/>
      <c r="H24" s="23"/>
      <c r="I24" s="54"/>
      <c r="J24" s="54"/>
      <c r="K24" s="23"/>
      <c r="L24" s="54"/>
      <c r="M24" s="54"/>
      <c r="N24" s="23"/>
      <c r="O24" s="54"/>
      <c r="P24" s="23"/>
      <c r="Q24" s="23"/>
      <c r="R24" s="51"/>
      <c r="S24" s="51"/>
      <c r="T24" s="34">
        <f t="shared" si="1"/>
        <v>0</v>
      </c>
    </row>
    <row r="25" spans="1:20" ht="15" customHeight="1" x14ac:dyDescent="0.2">
      <c r="A25" s="56"/>
      <c r="B25" s="56"/>
      <c r="C25" s="64"/>
      <c r="D25" s="68"/>
      <c r="E25" s="23"/>
      <c r="F25" s="55"/>
      <c r="G25" s="54"/>
      <c r="H25" s="23"/>
      <c r="I25" s="54"/>
      <c r="J25" s="54"/>
      <c r="K25" s="23"/>
      <c r="L25" s="54"/>
      <c r="M25" s="54"/>
      <c r="N25" s="23"/>
      <c r="O25" s="23"/>
      <c r="P25" s="23"/>
      <c r="Q25" s="23"/>
      <c r="R25" s="51"/>
      <c r="S25" s="51"/>
      <c r="T25" s="34">
        <f t="shared" si="1"/>
        <v>0</v>
      </c>
    </row>
    <row r="26" spans="1:20" ht="15" customHeight="1" x14ac:dyDescent="0.2">
      <c r="A26" s="54"/>
      <c r="B26" s="54"/>
      <c r="C26" s="54"/>
      <c r="D26" s="54"/>
      <c r="E26" s="54"/>
      <c r="F26" s="55"/>
      <c r="G26" s="54"/>
      <c r="H26" s="54"/>
      <c r="I26" s="54"/>
      <c r="J26" s="54"/>
      <c r="K26" s="54"/>
      <c r="L26" s="54"/>
      <c r="M26" s="54"/>
      <c r="N26" s="23"/>
      <c r="O26" s="54"/>
      <c r="P26" s="54"/>
      <c r="Q26" s="54"/>
      <c r="R26" s="63"/>
      <c r="S26" s="63"/>
      <c r="T26" s="34">
        <f t="shared" si="1"/>
        <v>0</v>
      </c>
    </row>
    <row r="27" spans="1:20" ht="15" customHeight="1" x14ac:dyDescent="0.2">
      <c r="A27" s="56"/>
      <c r="B27" s="56"/>
      <c r="C27" s="23"/>
      <c r="D27" s="23"/>
      <c r="E27" s="23"/>
      <c r="F27" s="27"/>
      <c r="G27" s="53"/>
      <c r="H27" s="23"/>
      <c r="I27" s="54"/>
      <c r="J27" s="54"/>
      <c r="K27" s="23"/>
      <c r="L27" s="54"/>
      <c r="M27" s="54"/>
      <c r="N27" s="23"/>
      <c r="O27" s="23"/>
      <c r="P27" s="23"/>
      <c r="Q27" s="23"/>
      <c r="R27" s="61"/>
      <c r="S27" s="51"/>
      <c r="T27" s="34">
        <f t="shared" si="1"/>
        <v>0</v>
      </c>
    </row>
    <row r="28" spans="1:20" ht="15" customHeight="1" x14ac:dyDescent="0.2">
      <c r="A28" s="56"/>
      <c r="B28" s="56"/>
      <c r="C28" s="54"/>
      <c r="D28" s="23"/>
      <c r="E28" s="23"/>
      <c r="F28" s="55"/>
      <c r="G28" s="54"/>
      <c r="H28" s="23"/>
      <c r="I28" s="54"/>
      <c r="J28" s="54"/>
      <c r="K28" s="23"/>
      <c r="L28" s="54"/>
      <c r="M28" s="54"/>
      <c r="N28" s="23"/>
      <c r="O28" s="23"/>
      <c r="P28" s="23"/>
      <c r="Q28" s="23"/>
      <c r="R28" s="51"/>
      <c r="S28" s="51"/>
      <c r="T28" s="34">
        <f t="shared" si="1"/>
        <v>0</v>
      </c>
    </row>
    <row r="29" spans="1:20" ht="15" customHeight="1" x14ac:dyDescent="0.2">
      <c r="A29" s="56"/>
      <c r="B29" s="56"/>
      <c r="C29" s="54"/>
      <c r="D29" s="23"/>
      <c r="E29" s="23"/>
      <c r="F29" s="55"/>
      <c r="G29" s="54"/>
      <c r="H29" s="23"/>
      <c r="I29" s="54"/>
      <c r="J29" s="54"/>
      <c r="K29" s="23"/>
      <c r="L29" s="54"/>
      <c r="M29" s="54"/>
      <c r="N29" s="23"/>
      <c r="O29" s="23"/>
      <c r="P29" s="23"/>
      <c r="Q29" s="23"/>
      <c r="R29" s="51"/>
      <c r="S29" s="51"/>
      <c r="T29" s="34"/>
    </row>
    <row r="30" spans="1:20" ht="15" customHeight="1" x14ac:dyDescent="0.2">
      <c r="A30" s="56"/>
      <c r="B30" s="56"/>
      <c r="C30" s="54"/>
      <c r="D30" s="23"/>
      <c r="E30" s="23"/>
      <c r="F30" s="55"/>
      <c r="G30" s="54"/>
      <c r="H30" s="23"/>
      <c r="I30" s="54"/>
      <c r="J30" s="54"/>
      <c r="K30" s="23"/>
      <c r="L30" s="54"/>
      <c r="M30" s="54"/>
      <c r="N30" s="23"/>
      <c r="O30" s="23"/>
      <c r="P30" s="23"/>
      <c r="Q30" s="23"/>
      <c r="R30" s="61"/>
      <c r="S30" s="51"/>
      <c r="T30" s="34"/>
    </row>
    <row r="31" spans="1:20" ht="15" customHeight="1" x14ac:dyDescent="0.2">
      <c r="A31" s="56"/>
      <c r="B31" s="56"/>
      <c r="C31" s="54"/>
      <c r="D31" s="23"/>
      <c r="E31" s="23"/>
      <c r="F31" s="55"/>
      <c r="G31" s="54"/>
      <c r="H31" s="23"/>
      <c r="I31" s="54"/>
      <c r="J31" s="54"/>
      <c r="K31" s="23"/>
      <c r="L31" s="54"/>
      <c r="M31" s="54"/>
      <c r="N31" s="23"/>
      <c r="O31" s="23"/>
      <c r="P31" s="23"/>
      <c r="Q31" s="23"/>
      <c r="R31" s="61"/>
      <c r="S31" s="51"/>
      <c r="T31" s="34"/>
    </row>
    <row r="32" spans="1:20" ht="15" customHeight="1" x14ac:dyDescent="0.2">
      <c r="A32" s="56"/>
      <c r="B32" s="56"/>
      <c r="C32" s="54"/>
      <c r="D32" s="23"/>
      <c r="E32" s="23"/>
      <c r="F32" s="55"/>
      <c r="G32" s="54"/>
      <c r="H32" s="23"/>
      <c r="I32" s="54"/>
      <c r="J32" s="54"/>
      <c r="K32" s="23"/>
      <c r="L32" s="54"/>
      <c r="M32" s="54"/>
      <c r="N32" s="23"/>
      <c r="O32" s="23"/>
      <c r="P32" s="23"/>
      <c r="Q32" s="23"/>
      <c r="R32" s="61"/>
      <c r="S32" s="51"/>
      <c r="T32" s="34"/>
    </row>
    <row r="33" spans="1:20" ht="15" customHeight="1" x14ac:dyDescent="0.2">
      <c r="A33" s="56"/>
      <c r="B33" s="56"/>
      <c r="C33" s="54"/>
      <c r="D33" s="23"/>
      <c r="E33" s="23"/>
      <c r="F33" s="55"/>
      <c r="G33" s="54"/>
      <c r="H33" s="23"/>
      <c r="I33" s="54"/>
      <c r="J33" s="54"/>
      <c r="K33" s="23"/>
      <c r="L33" s="54"/>
      <c r="M33" s="54"/>
      <c r="N33" s="23"/>
      <c r="O33" s="23"/>
      <c r="P33" s="23"/>
      <c r="Q33" s="23"/>
      <c r="R33" s="61"/>
      <c r="S33" s="51"/>
      <c r="T33" s="34"/>
    </row>
    <row r="34" spans="1:20" ht="15" customHeight="1" x14ac:dyDescent="0.2">
      <c r="A34" s="56"/>
      <c r="B34" s="56"/>
      <c r="C34" s="54"/>
      <c r="D34" s="23"/>
      <c r="E34" s="23"/>
      <c r="F34" s="55"/>
      <c r="G34" s="54"/>
      <c r="H34" s="23"/>
      <c r="I34" s="54"/>
      <c r="J34" s="54"/>
      <c r="K34" s="23"/>
      <c r="L34" s="54"/>
      <c r="M34" s="54"/>
      <c r="N34" s="23"/>
      <c r="O34" s="23"/>
      <c r="P34" s="23"/>
      <c r="Q34" s="23"/>
      <c r="R34" s="61"/>
      <c r="S34" s="51"/>
      <c r="T34" s="34"/>
    </row>
    <row r="35" spans="1:20" ht="15" customHeight="1" x14ac:dyDescent="0.2">
      <c r="A35" s="56"/>
      <c r="B35" s="56"/>
      <c r="C35" s="54"/>
      <c r="D35" s="23"/>
      <c r="E35" s="23"/>
      <c r="F35" s="55"/>
      <c r="G35" s="54"/>
      <c r="H35" s="23"/>
      <c r="I35" s="54"/>
      <c r="J35" s="54"/>
      <c r="K35" s="23"/>
      <c r="L35" s="54"/>
      <c r="M35" s="54"/>
      <c r="N35" s="23"/>
      <c r="O35" s="23"/>
      <c r="P35" s="23"/>
      <c r="Q35" s="23"/>
      <c r="R35" s="61"/>
      <c r="S35" s="51"/>
      <c r="T35" s="34"/>
    </row>
    <row r="36" spans="1:20" ht="15" customHeight="1" x14ac:dyDescent="0.2">
      <c r="A36" s="56"/>
      <c r="B36" s="56"/>
      <c r="C36" s="54"/>
      <c r="D36" s="23"/>
      <c r="E36" s="23"/>
      <c r="F36" s="55"/>
      <c r="G36" s="54"/>
      <c r="H36" s="23"/>
      <c r="I36" s="54"/>
      <c r="J36" s="54"/>
      <c r="K36" s="23"/>
      <c r="L36" s="54"/>
      <c r="M36" s="54"/>
      <c r="N36" s="23"/>
      <c r="O36" s="23"/>
      <c r="P36" s="23"/>
      <c r="Q36" s="23"/>
      <c r="R36" s="51"/>
      <c r="S36" s="51"/>
      <c r="T36" s="34"/>
    </row>
    <row r="37" spans="1:20" ht="15" customHeight="1" x14ac:dyDescent="0.2">
      <c r="A37" s="56"/>
      <c r="B37" s="56"/>
      <c r="C37" s="64"/>
      <c r="D37" s="68"/>
      <c r="E37" s="23"/>
      <c r="F37" s="55"/>
      <c r="G37" s="54"/>
      <c r="H37" s="23"/>
      <c r="I37" s="54"/>
      <c r="J37" s="54"/>
      <c r="K37" s="23"/>
      <c r="L37" s="54"/>
      <c r="M37" s="54"/>
      <c r="N37" s="23"/>
      <c r="O37" s="23"/>
      <c r="P37" s="23"/>
      <c r="Q37" s="23"/>
      <c r="R37" s="51"/>
      <c r="S37" s="51"/>
      <c r="T37" s="34">
        <f t="shared" si="1"/>
        <v>0</v>
      </c>
    </row>
    <row r="38" spans="1:20" ht="15" customHeight="1" x14ac:dyDescent="0.2">
      <c r="A38" s="54"/>
      <c r="B38" s="54"/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/>
      <c r="N38" s="23"/>
      <c r="O38" s="54"/>
      <c r="P38" s="54"/>
      <c r="Q38" s="54"/>
      <c r="R38" s="63"/>
      <c r="S38" s="63"/>
      <c r="T38" s="34">
        <f t="shared" si="1"/>
        <v>0</v>
      </c>
    </row>
    <row r="39" spans="1:20" ht="15" customHeight="1" x14ac:dyDescent="0.2">
      <c r="A39" s="56"/>
      <c r="B39" s="56"/>
      <c r="C39" s="23"/>
      <c r="D39" s="23"/>
      <c r="E39" s="23"/>
      <c r="F39" s="27"/>
      <c r="G39" s="53"/>
      <c r="H39" s="23"/>
      <c r="I39" s="54"/>
      <c r="J39" s="54"/>
      <c r="K39" s="23"/>
      <c r="L39" s="54"/>
      <c r="M39" s="54"/>
      <c r="N39" s="23"/>
      <c r="O39" s="23"/>
      <c r="P39" s="23"/>
      <c r="Q39" s="23"/>
      <c r="R39" s="51"/>
      <c r="S39" s="51"/>
      <c r="T39" s="34">
        <f t="shared" si="1"/>
        <v>0</v>
      </c>
    </row>
    <row r="40" spans="1:20" ht="15" customHeight="1" x14ac:dyDescent="0.2">
      <c r="A40" s="54"/>
      <c r="B40" s="54"/>
      <c r="C40" s="54"/>
      <c r="D40" s="54"/>
      <c r="E40" s="54"/>
      <c r="F40" s="55"/>
      <c r="G40" s="54"/>
      <c r="H40" s="54"/>
      <c r="I40" s="54"/>
      <c r="J40" s="54"/>
      <c r="K40" s="54"/>
      <c r="L40" s="54"/>
      <c r="M40" s="54"/>
      <c r="N40" s="23"/>
      <c r="O40" s="54"/>
      <c r="P40" s="54"/>
      <c r="Q40" s="54"/>
      <c r="R40" s="63"/>
      <c r="S40" s="63"/>
      <c r="T40" s="34"/>
    </row>
    <row r="41" spans="1:20" ht="15" customHeight="1" x14ac:dyDescent="0.2">
      <c r="A41" s="11"/>
      <c r="B41" s="11"/>
      <c r="C41" s="11"/>
      <c r="D41" s="11"/>
      <c r="E41" s="11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7"/>
      <c r="S41" s="11"/>
      <c r="T41" s="12"/>
    </row>
    <row r="42" spans="1:20" ht="15" customHeight="1" x14ac:dyDescent="0.2">
      <c r="F42" s="37"/>
      <c r="T42" s="1"/>
    </row>
    <row r="43" spans="1:20" ht="15" customHeight="1" x14ac:dyDescent="0.2">
      <c r="T43" s="1"/>
    </row>
    <row r="44" spans="1:20" ht="15" customHeight="1" x14ac:dyDescent="0.2">
      <c r="T44" s="1"/>
    </row>
    <row r="45" spans="1:20" ht="15" customHeight="1" x14ac:dyDescent="0.2">
      <c r="T45" s="1"/>
    </row>
    <row r="46" spans="1:20" ht="15" customHeight="1" x14ac:dyDescent="0.2">
      <c r="T46" s="1"/>
    </row>
    <row r="47" spans="1:20" ht="15" customHeight="1" x14ac:dyDescent="0.2">
      <c r="T47" s="1"/>
    </row>
    <row r="48" spans="1:20" ht="15" customHeight="1" x14ac:dyDescent="0.2">
      <c r="T48" s="1"/>
    </row>
    <row r="49" spans="20:20" ht="15" customHeight="1" x14ac:dyDescent="0.2">
      <c r="T49" s="1"/>
    </row>
    <row r="50" spans="20:20" ht="15" customHeight="1" x14ac:dyDescent="0.2">
      <c r="T50" s="1"/>
    </row>
    <row r="51" spans="20:20" ht="15" customHeight="1" x14ac:dyDescent="0.2">
      <c r="T51" s="1"/>
    </row>
    <row r="52" spans="20:20" ht="15" customHeight="1" x14ac:dyDescent="0.2">
      <c r="T52" s="1"/>
    </row>
    <row r="53" spans="20:20" ht="15" customHeight="1" x14ac:dyDescent="0.2">
      <c r="T53" s="1"/>
    </row>
    <row r="54" spans="20:20" ht="15" customHeight="1" x14ac:dyDescent="0.2">
      <c r="T54" s="1"/>
    </row>
    <row r="55" spans="20:20" ht="15" customHeight="1" x14ac:dyDescent="0.2">
      <c r="T55" s="1"/>
    </row>
    <row r="56" spans="20:20" ht="15" customHeight="1" x14ac:dyDescent="0.2">
      <c r="T56" s="1"/>
    </row>
    <row r="57" spans="20:20" ht="15" customHeight="1" x14ac:dyDescent="0.2">
      <c r="T57" s="1"/>
    </row>
    <row r="58" spans="20:20" ht="15" customHeight="1" x14ac:dyDescent="0.2">
      <c r="T58" s="1"/>
    </row>
    <row r="59" spans="20:20" ht="15" customHeight="1" x14ac:dyDescent="0.2">
      <c r="T59" s="1"/>
    </row>
    <row r="60" spans="20:20" ht="15" customHeight="1" x14ac:dyDescent="0.2">
      <c r="T60" s="1"/>
    </row>
    <row r="61" spans="20:20" ht="15" customHeight="1" x14ac:dyDescent="0.2">
      <c r="T61" s="1"/>
    </row>
    <row r="62" spans="20:20" ht="15" customHeight="1" x14ac:dyDescent="0.2">
      <c r="T62" s="1"/>
    </row>
    <row r="63" spans="20:20" ht="15" customHeight="1" x14ac:dyDescent="0.2">
      <c r="T63" s="1"/>
    </row>
    <row r="64" spans="20:20" ht="15" customHeight="1" x14ac:dyDescent="0.2">
      <c r="T64" s="1"/>
    </row>
    <row r="65" spans="20:20" ht="15" customHeight="1" x14ac:dyDescent="0.2">
      <c r="T65" s="1"/>
    </row>
    <row r="66" spans="20:20" ht="15" customHeight="1" x14ac:dyDescent="0.2">
      <c r="T66" s="1"/>
    </row>
    <row r="67" spans="20:20" ht="15" customHeight="1" x14ac:dyDescent="0.2">
      <c r="T67" s="1"/>
    </row>
    <row r="68" spans="20:20" ht="15" customHeight="1" x14ac:dyDescent="0.2">
      <c r="T68" s="1"/>
    </row>
    <row r="69" spans="20:20" ht="15" customHeight="1" x14ac:dyDescent="0.2">
      <c r="T69" s="1"/>
    </row>
    <row r="70" spans="20:20" ht="15" customHeight="1" x14ac:dyDescent="0.2">
      <c r="T70" s="1"/>
    </row>
    <row r="71" spans="20:20" ht="15" customHeight="1" x14ac:dyDescent="0.2">
      <c r="T71" s="1"/>
    </row>
    <row r="72" spans="20:20" ht="15" customHeight="1" x14ac:dyDescent="0.2">
      <c r="T72" s="1"/>
    </row>
    <row r="73" spans="20:20" ht="15" customHeight="1" x14ac:dyDescent="0.2">
      <c r="T73" s="1"/>
    </row>
    <row r="74" spans="20:20" ht="15" customHeight="1" x14ac:dyDescent="0.2">
      <c r="T74" s="1"/>
    </row>
    <row r="75" spans="20:20" ht="15" customHeight="1" x14ac:dyDescent="0.2">
      <c r="T75" s="1"/>
    </row>
    <row r="76" spans="20:20" ht="15" customHeight="1" x14ac:dyDescent="0.2">
      <c r="T76" s="1"/>
    </row>
    <row r="77" spans="20:20" ht="15" customHeight="1" x14ac:dyDescent="0.2">
      <c r="T77" s="1"/>
    </row>
    <row r="78" spans="20:20" ht="15" customHeight="1" x14ac:dyDescent="0.2">
      <c r="T78" s="1"/>
    </row>
    <row r="79" spans="20:20" ht="15" customHeight="1" x14ac:dyDescent="0.2">
      <c r="T79" s="1"/>
    </row>
    <row r="80" spans="20:20" ht="15" customHeight="1" x14ac:dyDescent="0.2">
      <c r="T80" s="1"/>
    </row>
    <row r="81" spans="20:20" ht="15" customHeight="1" x14ac:dyDescent="0.2">
      <c r="T81" s="1"/>
    </row>
    <row r="82" spans="20:20" ht="15" customHeight="1" x14ac:dyDescent="0.2">
      <c r="T82" s="1"/>
    </row>
    <row r="83" spans="20:20" ht="15" customHeight="1" x14ac:dyDescent="0.2">
      <c r="T83" s="1"/>
    </row>
    <row r="84" spans="20:20" ht="15" customHeight="1" x14ac:dyDescent="0.2">
      <c r="T84" s="1"/>
    </row>
    <row r="85" spans="20:20" ht="15" customHeight="1" x14ac:dyDescent="0.2">
      <c r="T85" s="1"/>
    </row>
    <row r="86" spans="20:20" ht="15" customHeight="1" x14ac:dyDescent="0.2">
      <c r="T86" s="1"/>
    </row>
    <row r="87" spans="20:20" ht="15" customHeight="1" x14ac:dyDescent="0.2">
      <c r="T87" s="1"/>
    </row>
    <row r="88" spans="20:20" ht="15" customHeight="1" x14ac:dyDescent="0.2">
      <c r="T88" s="1"/>
    </row>
    <row r="89" spans="20:20" ht="15" customHeight="1" x14ac:dyDescent="0.2">
      <c r="T89" s="1"/>
    </row>
    <row r="90" spans="20:20" ht="15" customHeight="1" x14ac:dyDescent="0.2">
      <c r="T90" s="1"/>
    </row>
    <row r="91" spans="20:20" ht="15" customHeight="1" x14ac:dyDescent="0.2">
      <c r="T91" s="1"/>
    </row>
    <row r="92" spans="20:20" ht="15" customHeight="1" x14ac:dyDescent="0.2">
      <c r="T92" s="1"/>
    </row>
    <row r="93" spans="20:20" ht="15" customHeight="1" x14ac:dyDescent="0.2">
      <c r="T93" s="1"/>
    </row>
    <row r="94" spans="20:20" ht="15" customHeight="1" x14ac:dyDescent="0.2">
      <c r="T94" s="1"/>
    </row>
    <row r="95" spans="20:20" ht="15" customHeight="1" x14ac:dyDescent="0.2">
      <c r="T95" s="1"/>
    </row>
    <row r="96" spans="20:20" ht="15" customHeight="1" x14ac:dyDescent="0.2">
      <c r="T96" s="1"/>
    </row>
    <row r="97" spans="20:20" ht="15" customHeight="1" x14ac:dyDescent="0.2">
      <c r="T97" s="1"/>
    </row>
    <row r="98" spans="20:20" ht="15" customHeight="1" x14ac:dyDescent="0.2">
      <c r="T98" s="1"/>
    </row>
    <row r="99" spans="20:20" ht="15" customHeight="1" x14ac:dyDescent="0.2">
      <c r="T99" s="1"/>
    </row>
    <row r="100" spans="20:20" ht="15" customHeight="1" x14ac:dyDescent="0.2">
      <c r="T100" s="1"/>
    </row>
    <row r="101" spans="20:20" ht="15" customHeight="1" x14ac:dyDescent="0.2">
      <c r="T101" s="1"/>
    </row>
    <row r="102" spans="20:20" ht="15" customHeight="1" x14ac:dyDescent="0.2">
      <c r="T102" s="1"/>
    </row>
    <row r="103" spans="20:20" ht="15" customHeight="1" x14ac:dyDescent="0.2">
      <c r="T103" s="1"/>
    </row>
    <row r="104" spans="20:20" ht="15" customHeight="1" x14ac:dyDescent="0.2">
      <c r="T104" s="1"/>
    </row>
    <row r="105" spans="20:20" ht="15" customHeight="1" x14ac:dyDescent="0.2">
      <c r="T105" s="1"/>
    </row>
    <row r="106" spans="20:20" ht="15" customHeight="1" x14ac:dyDescent="0.2">
      <c r="T106" s="1"/>
    </row>
    <row r="107" spans="20:20" ht="15" customHeight="1" x14ac:dyDescent="0.2">
      <c r="T107" s="1"/>
    </row>
    <row r="108" spans="20:20" ht="15" customHeight="1" x14ac:dyDescent="0.2">
      <c r="T108" s="1"/>
    </row>
    <row r="109" spans="20:20" ht="15" customHeight="1" x14ac:dyDescent="0.2">
      <c r="T109" s="1"/>
    </row>
    <row r="110" spans="20:20" ht="15" customHeight="1" x14ac:dyDescent="0.2">
      <c r="T110" s="1"/>
    </row>
    <row r="111" spans="20:20" ht="15" customHeight="1" x14ac:dyDescent="0.2">
      <c r="T111" s="1"/>
    </row>
    <row r="112" spans="20:20" ht="15" customHeight="1" x14ac:dyDescent="0.2">
      <c r="T112" s="1"/>
    </row>
    <row r="113" spans="20:20" ht="15" customHeight="1" x14ac:dyDescent="0.2">
      <c r="T113" s="1"/>
    </row>
    <row r="114" spans="20:20" ht="15" customHeight="1" x14ac:dyDescent="0.2">
      <c r="T114" s="1"/>
    </row>
    <row r="115" spans="20:20" ht="15" customHeight="1" x14ac:dyDescent="0.2">
      <c r="T115" s="1"/>
    </row>
    <row r="116" spans="20:20" ht="15" customHeight="1" x14ac:dyDescent="0.2">
      <c r="T116" s="1"/>
    </row>
    <row r="117" spans="20:20" ht="15" customHeight="1" x14ac:dyDescent="0.2">
      <c r="T117" s="1"/>
    </row>
    <row r="118" spans="20:20" ht="15" customHeight="1" x14ac:dyDescent="0.2">
      <c r="T118" s="1"/>
    </row>
    <row r="119" spans="20:20" ht="15" customHeight="1" x14ac:dyDescent="0.2">
      <c r="T119" s="1"/>
    </row>
    <row r="120" spans="20:20" ht="15" customHeight="1" x14ac:dyDescent="0.2">
      <c r="T120" s="1"/>
    </row>
    <row r="121" spans="20:20" ht="15" customHeight="1" x14ac:dyDescent="0.2">
      <c r="T121" s="1"/>
    </row>
    <row r="122" spans="20:20" ht="15" customHeight="1" x14ac:dyDescent="0.2">
      <c r="T122" s="1"/>
    </row>
    <row r="123" spans="20:20" ht="15" customHeight="1" x14ac:dyDescent="0.2">
      <c r="T123" s="1"/>
    </row>
    <row r="124" spans="20:20" ht="15" customHeight="1" x14ac:dyDescent="0.2">
      <c r="T124" s="1"/>
    </row>
    <row r="125" spans="20:20" ht="15" customHeight="1" x14ac:dyDescent="0.2">
      <c r="T125" s="1"/>
    </row>
    <row r="126" spans="20:20" ht="15" customHeight="1" x14ac:dyDescent="0.2">
      <c r="T126" s="1"/>
    </row>
    <row r="127" spans="20:20" ht="15" customHeight="1" x14ac:dyDescent="0.2">
      <c r="T127" s="1"/>
    </row>
    <row r="128" spans="20:20" ht="15" customHeight="1" x14ac:dyDescent="0.2">
      <c r="T128" s="1"/>
    </row>
    <row r="129" spans="20:20" ht="15" customHeight="1" x14ac:dyDescent="0.2">
      <c r="T129" s="1"/>
    </row>
    <row r="130" spans="20:20" ht="15" customHeight="1" x14ac:dyDescent="0.2">
      <c r="T130" s="1"/>
    </row>
    <row r="131" spans="20:20" ht="15" customHeight="1" x14ac:dyDescent="0.2">
      <c r="T131" s="1"/>
    </row>
    <row r="132" spans="20:20" ht="15" customHeight="1" x14ac:dyDescent="0.2">
      <c r="T132" s="1"/>
    </row>
    <row r="133" spans="20:20" ht="15" customHeight="1" x14ac:dyDescent="0.2">
      <c r="T133" s="1"/>
    </row>
    <row r="134" spans="20:20" ht="15" customHeight="1" x14ac:dyDescent="0.2">
      <c r="T134" s="1"/>
    </row>
    <row r="135" spans="20:20" ht="15" customHeight="1" x14ac:dyDescent="0.2">
      <c r="T135" s="1"/>
    </row>
    <row r="136" spans="20:20" ht="15" customHeight="1" x14ac:dyDescent="0.2">
      <c r="T136" s="1"/>
    </row>
    <row r="137" spans="20:20" ht="15" customHeight="1" x14ac:dyDescent="0.2">
      <c r="T137" s="1"/>
    </row>
    <row r="138" spans="20:20" ht="15" customHeight="1" x14ac:dyDescent="0.2">
      <c r="T138" s="1"/>
    </row>
    <row r="139" spans="20:20" ht="15" customHeight="1" x14ac:dyDescent="0.2">
      <c r="T139" s="1"/>
    </row>
    <row r="140" spans="20:20" ht="15" customHeight="1" x14ac:dyDescent="0.2">
      <c r="T140" s="1"/>
    </row>
    <row r="141" spans="20:20" ht="15" customHeight="1" x14ac:dyDescent="0.2">
      <c r="T141" s="1"/>
    </row>
    <row r="142" spans="20:20" ht="15" customHeight="1" x14ac:dyDescent="0.2">
      <c r="T142" s="1"/>
    </row>
    <row r="143" spans="20:20" ht="15" customHeight="1" x14ac:dyDescent="0.2">
      <c r="T143" s="1"/>
    </row>
    <row r="144" spans="20:20" ht="15" customHeight="1" x14ac:dyDescent="0.2">
      <c r="T144" s="1"/>
    </row>
    <row r="145" spans="20:20" ht="15" customHeight="1" x14ac:dyDescent="0.2">
      <c r="T145" s="1"/>
    </row>
    <row r="146" spans="20:20" ht="15" customHeight="1" x14ac:dyDescent="0.2">
      <c r="T146" s="1"/>
    </row>
    <row r="147" spans="20:20" ht="15" customHeight="1" x14ac:dyDescent="0.2">
      <c r="T147" s="1"/>
    </row>
    <row r="148" spans="20:20" ht="15" customHeight="1" x14ac:dyDescent="0.2">
      <c r="T148" s="1"/>
    </row>
    <row r="149" spans="20:20" ht="15" customHeight="1" x14ac:dyDescent="0.2">
      <c r="T149" s="1"/>
    </row>
    <row r="150" spans="20:20" ht="15" customHeight="1" x14ac:dyDescent="0.2">
      <c r="T150" s="1"/>
    </row>
    <row r="151" spans="20:20" ht="15" customHeight="1" x14ac:dyDescent="0.2">
      <c r="T151" s="1"/>
    </row>
    <row r="152" spans="20:20" ht="15" customHeight="1" x14ac:dyDescent="0.2">
      <c r="T152" s="1"/>
    </row>
    <row r="153" spans="20:20" ht="15" customHeight="1" x14ac:dyDescent="0.2">
      <c r="T153" s="1"/>
    </row>
    <row r="154" spans="20:20" ht="15" customHeight="1" x14ac:dyDescent="0.2">
      <c r="T154" s="1"/>
    </row>
    <row r="155" spans="20:20" ht="15" customHeight="1" x14ac:dyDescent="0.2">
      <c r="T155" s="1"/>
    </row>
    <row r="156" spans="20:20" ht="15" customHeight="1" x14ac:dyDescent="0.2">
      <c r="T156" s="1"/>
    </row>
    <row r="157" spans="20:20" ht="15" customHeight="1" x14ac:dyDescent="0.2">
      <c r="T157" s="1"/>
    </row>
    <row r="158" spans="20:20" ht="15" customHeight="1" x14ac:dyDescent="0.2">
      <c r="T158" s="1"/>
    </row>
    <row r="159" spans="20:20" ht="15" customHeight="1" x14ac:dyDescent="0.2">
      <c r="T159" s="1"/>
    </row>
    <row r="160" spans="20:20" ht="15" customHeight="1" x14ac:dyDescent="0.2">
      <c r="T160" s="1"/>
    </row>
    <row r="161" spans="20:20" ht="15" customHeight="1" x14ac:dyDescent="0.2">
      <c r="T161" s="1"/>
    </row>
    <row r="162" spans="20:20" ht="15" customHeight="1" x14ac:dyDescent="0.2">
      <c r="T162" s="1"/>
    </row>
    <row r="163" spans="20:20" ht="15" customHeight="1" x14ac:dyDescent="0.2">
      <c r="T163" s="1"/>
    </row>
    <row r="164" spans="20:20" ht="15" customHeight="1" x14ac:dyDescent="0.2">
      <c r="T164" s="1"/>
    </row>
    <row r="165" spans="20:20" ht="15" customHeight="1" x14ac:dyDescent="0.2">
      <c r="T165" s="1"/>
    </row>
    <row r="166" spans="20:20" ht="15" customHeight="1" x14ac:dyDescent="0.2">
      <c r="T166" s="1"/>
    </row>
    <row r="167" spans="20:20" ht="15" customHeight="1" x14ac:dyDescent="0.2">
      <c r="T167" s="1"/>
    </row>
    <row r="168" spans="20:20" ht="15" customHeight="1" x14ac:dyDescent="0.2">
      <c r="T168" s="1"/>
    </row>
    <row r="169" spans="20:20" ht="15" customHeight="1" x14ac:dyDescent="0.2">
      <c r="T169" s="1"/>
    </row>
    <row r="170" spans="20:20" ht="15" customHeight="1" x14ac:dyDescent="0.2">
      <c r="T170" s="1"/>
    </row>
    <row r="171" spans="20:20" ht="15" customHeight="1" x14ac:dyDescent="0.2">
      <c r="T171" s="1"/>
    </row>
    <row r="172" spans="20:20" ht="15" customHeight="1" x14ac:dyDescent="0.2">
      <c r="T172" s="1"/>
    </row>
    <row r="173" spans="20:20" ht="15" customHeight="1" x14ac:dyDescent="0.2">
      <c r="T173" s="1"/>
    </row>
  </sheetData>
  <sortState ref="A8:T16">
    <sortCondition descending="1" ref="T8:T16"/>
  </sortState>
  <pageMargins left="0.75" right="0.75" top="1" bottom="1" header="0.5" footer="0.5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IV59"/>
  <sheetViews>
    <sheetView zoomScaleNormal="100" workbookViewId="0"/>
  </sheetViews>
  <sheetFormatPr defaultColWidth="9.140625" defaultRowHeight="15" customHeight="1" x14ac:dyDescent="0.2"/>
  <cols>
    <col min="1" max="256" width="9.140625" customWidth="1"/>
  </cols>
  <sheetData>
    <row r="1" spans="1:256" ht="15" customHeight="1" x14ac:dyDescent="0.2">
      <c r="A1" s="1" t="e">
        <f>IF('Maxi 1'!#REF!,"AAAAAHf/fQA=",0)</f>
        <v>#REF!</v>
      </c>
      <c r="B1" s="1" t="e">
        <f>AND('Maxi 1'!#REF!,"AAAAAHf/fQE=")</f>
        <v>#REF!</v>
      </c>
      <c r="C1" s="1" t="e">
        <f>AND('Maxi 1'!#REF!,"AAAAAHf/fQI=")</f>
        <v>#REF!</v>
      </c>
      <c r="D1" s="1" t="e">
        <f>AND('Maxi 1'!#REF!,"AAAAAHf/fQM=")</f>
        <v>#REF!</v>
      </c>
      <c r="E1" s="1" t="e">
        <f>AND('Maxi 1'!#REF!,"AAAAAHf/fQQ=")</f>
        <v>#REF!</v>
      </c>
      <c r="F1" s="1" t="e">
        <f>AND('Maxi 1'!#REF!,"AAAAAHf/fQU=")</f>
        <v>#REF!</v>
      </c>
      <c r="G1" s="1" t="e">
        <f>AND('Maxi 1'!#REF!,"AAAAAHf/fQY=")</f>
        <v>#REF!</v>
      </c>
      <c r="H1" s="1" t="e">
        <f>AND('Maxi 1'!#REF!,"AAAAAHf/fQc=")</f>
        <v>#REF!</v>
      </c>
      <c r="I1" s="1" t="e">
        <f>AND('Maxi 1'!#REF!,"AAAAAHf/fQg=")</f>
        <v>#REF!</v>
      </c>
      <c r="J1" s="1" t="e">
        <f>AND('Maxi 1'!#REF!,"AAAAAHf/fQk=")</f>
        <v>#REF!</v>
      </c>
      <c r="K1" s="1" t="e">
        <f>AND('Maxi 1'!#REF!,"AAAAAHf/fQo=")</f>
        <v>#REF!</v>
      </c>
      <c r="L1" s="1" t="e">
        <f>AND('Maxi 1'!#REF!,"AAAAAHf/fQs=")</f>
        <v>#REF!</v>
      </c>
      <c r="M1" s="1" t="e">
        <f>AND('Maxi 1'!#REF!,"AAAAAHf/fQw=")</f>
        <v>#REF!</v>
      </c>
      <c r="N1" s="1" t="e">
        <f>AND('Maxi 1'!#REF!,"AAAAAHf/fQ0=")</f>
        <v>#REF!</v>
      </c>
      <c r="O1" s="1" t="e">
        <f>AND('Maxi 1'!#REF!,"AAAAAHf/fQ4=")</f>
        <v>#REF!</v>
      </c>
      <c r="P1" s="1" t="e">
        <f>AND('Maxi 1'!#REF!,"AAAAAHf/fQ8=")</f>
        <v>#REF!</v>
      </c>
      <c r="Q1" s="1" t="e">
        <f>AND('Maxi 1'!#REF!,"AAAAAHf/fRA=")</f>
        <v>#REF!</v>
      </c>
      <c r="R1" s="1" t="e">
        <f>AND('Maxi 1'!#REF!,"AAAAAHf/fRE=")</f>
        <v>#REF!</v>
      </c>
      <c r="S1" s="1" t="e">
        <f>AND('Maxi 1'!#REF!,"AAAAAHf/fRI=")</f>
        <v>#REF!</v>
      </c>
      <c r="T1" s="1" t="e">
        <f>AND('Maxi 1'!#REF!,"AAAAAHf/fRM=")</f>
        <v>#REF!</v>
      </c>
      <c r="U1" s="1" t="e">
        <f>AND('Maxi 1'!#REF!,"AAAAAHf/fRQ=")</f>
        <v>#REF!</v>
      </c>
      <c r="V1" s="1" t="e">
        <f>AND('Maxi 1'!#REF!,"AAAAAHf/fRU=")</f>
        <v>#REF!</v>
      </c>
      <c r="W1" s="1" t="e">
        <f>AND('Maxi 1'!#REF!,"AAAAAHf/fRY=")</f>
        <v>#REF!</v>
      </c>
      <c r="X1" s="1" t="e">
        <f>AND('Maxi 1'!#REF!,"AAAAAHf/fRc=")</f>
        <v>#REF!</v>
      </c>
      <c r="Y1" s="1" t="e">
        <f>AND('Maxi 1'!#REF!,"AAAAAHf/fRg=")</f>
        <v>#REF!</v>
      </c>
      <c r="Z1" s="1" t="e">
        <f>AND('Maxi 1'!#REF!,"AAAAAHf/fRk=")</f>
        <v>#REF!</v>
      </c>
      <c r="AA1" s="1" t="e">
        <f>AND('Maxi 1'!#REF!,"AAAAAHf/fRo=")</f>
        <v>#REF!</v>
      </c>
      <c r="AB1" s="1" t="e">
        <f>AND('Maxi 1'!#REF!,"AAAAAHf/fRs=")</f>
        <v>#REF!</v>
      </c>
      <c r="AC1" s="1" t="e">
        <f>IF('Maxi 1'!#REF!,"AAAAAHf/fRw=",0)</f>
        <v>#REF!</v>
      </c>
      <c r="AD1" s="1" t="e">
        <f>AND('Maxi 1'!#REF!,"AAAAAHf/fR0=")</f>
        <v>#REF!</v>
      </c>
      <c r="AE1" s="1" t="e">
        <f>AND('Maxi 1'!#REF!,"AAAAAHf/fR4=")</f>
        <v>#REF!</v>
      </c>
      <c r="AF1" s="1" t="e">
        <f>AND('Maxi 1'!#REF!,"AAAAAHf/fR8=")</f>
        <v>#REF!</v>
      </c>
      <c r="AG1" s="1" t="e">
        <f>AND('Maxi 1'!#REF!,"AAAAAHf/fSA=")</f>
        <v>#REF!</v>
      </c>
      <c r="AH1" s="1" t="e">
        <f>AND('Maxi 1'!#REF!,"AAAAAHf/fSE=")</f>
        <v>#REF!</v>
      </c>
      <c r="AI1" s="1" t="e">
        <f>AND('Maxi 1'!#REF!,"AAAAAHf/fSI=")</f>
        <v>#REF!</v>
      </c>
      <c r="AJ1" s="1" t="e">
        <f>AND('Maxi 1'!#REF!,"AAAAAHf/fSM=")</f>
        <v>#REF!</v>
      </c>
      <c r="AK1" s="1" t="e">
        <f>AND('Maxi 1'!#REF!,"AAAAAHf/fSQ=")</f>
        <v>#REF!</v>
      </c>
      <c r="AL1" s="1" t="e">
        <f>AND('Maxi 1'!#REF!,"AAAAAHf/fSU=")</f>
        <v>#REF!</v>
      </c>
      <c r="AM1" s="1" t="e">
        <f>AND('Maxi 1'!#REF!,"AAAAAHf/fSY=")</f>
        <v>#REF!</v>
      </c>
      <c r="AN1" s="1" t="e">
        <f>AND('Maxi 1'!#REF!,"AAAAAHf/fSc=")</f>
        <v>#REF!</v>
      </c>
      <c r="AO1" s="1" t="e">
        <f>AND('Maxi 1'!#REF!,"AAAAAHf/fSg=")</f>
        <v>#REF!</v>
      </c>
      <c r="AP1" s="1" t="e">
        <f>AND('Maxi 1'!#REF!,"AAAAAHf/fSk=")</f>
        <v>#REF!</v>
      </c>
      <c r="AQ1" s="1" t="e">
        <f>AND('Maxi 1'!#REF!,"AAAAAHf/fSo=")</f>
        <v>#REF!</v>
      </c>
      <c r="AR1" s="1" t="e">
        <f>AND('Maxi 1'!#REF!,"AAAAAHf/fSs=")</f>
        <v>#REF!</v>
      </c>
      <c r="AS1" s="1" t="e">
        <f>AND('Maxi 1'!#REF!,"AAAAAHf/fSw=")</f>
        <v>#REF!</v>
      </c>
      <c r="AT1" s="1" t="e">
        <f>AND('Maxi 1'!#REF!,"AAAAAHf/fS0=")</f>
        <v>#REF!</v>
      </c>
      <c r="AU1" s="1" t="e">
        <f>AND('Maxi 1'!#REF!,"AAAAAHf/fS4=")</f>
        <v>#REF!</v>
      </c>
      <c r="AV1" s="1" t="e">
        <f>AND('Maxi 1'!#REF!,"AAAAAHf/fS8=")</f>
        <v>#REF!</v>
      </c>
      <c r="AW1" s="1" t="e">
        <f>AND('Maxi 1'!#REF!,"AAAAAHf/fTA=")</f>
        <v>#REF!</v>
      </c>
      <c r="AX1" s="1" t="e">
        <f>AND('Maxi 1'!#REF!,"AAAAAHf/fTE=")</f>
        <v>#REF!</v>
      </c>
      <c r="AY1" s="1" t="e">
        <f>AND('Maxi 1'!#REF!,"AAAAAHf/fTI=")</f>
        <v>#REF!</v>
      </c>
      <c r="AZ1" s="1" t="e">
        <f>AND('Maxi 1'!#REF!,"AAAAAHf/fTM=")</f>
        <v>#REF!</v>
      </c>
      <c r="BA1" s="1" t="e">
        <f>AND('Maxi 1'!#REF!,"AAAAAHf/fTQ=")</f>
        <v>#REF!</v>
      </c>
      <c r="BB1" s="1" t="e">
        <f>AND('Maxi 1'!#REF!,"AAAAAHf/fTU=")</f>
        <v>#REF!</v>
      </c>
      <c r="BC1" s="1" t="e">
        <f>AND('Maxi 1'!#REF!,"AAAAAHf/fTY=")</f>
        <v>#REF!</v>
      </c>
      <c r="BD1" s="1" t="e">
        <f>AND('Maxi 1'!#REF!,"AAAAAHf/fTc=")</f>
        <v>#REF!</v>
      </c>
      <c r="BE1" s="1">
        <f>IF('Maxi 1'!1:1,"AAAAAHf/fTg=",0)</f>
        <v>0</v>
      </c>
      <c r="BF1" s="1" t="e">
        <f>AND('Maxi 1'!A1,"AAAAAHf/fTk=")</f>
        <v>#VALUE!</v>
      </c>
      <c r="BG1" s="1" t="e">
        <f>AND('Maxi 1'!B1,"AAAAAHf/fTo=")</f>
        <v>#VALUE!</v>
      </c>
      <c r="BH1" s="1" t="e">
        <f>AND('Maxi 1'!C1,"AAAAAHf/fTs=")</f>
        <v>#VALUE!</v>
      </c>
      <c r="BI1" s="1" t="e">
        <f>AND('Maxi 1'!D1,"AAAAAHf/fTw=")</f>
        <v>#VALUE!</v>
      </c>
      <c r="BJ1" s="1" t="e">
        <f>AND('Maxi 1'!E1,"AAAAAHf/fT0=")</f>
        <v>#VALUE!</v>
      </c>
      <c r="BK1" s="1" t="e">
        <f>AND('Maxi 1'!F1,"AAAAAHf/fT4=")</f>
        <v>#VALUE!</v>
      </c>
      <c r="BL1" s="1" t="e">
        <f>AND('Maxi 1'!G1,"AAAAAHf/fT8=")</f>
        <v>#VALUE!</v>
      </c>
      <c r="BM1" s="1" t="e">
        <f>AND('Maxi 1'!H1,"AAAAAHf/fUA=")</f>
        <v>#VALUE!</v>
      </c>
      <c r="BN1" s="1" t="e">
        <f>AND('Maxi 1'!I1,"AAAAAHf/fUE=")</f>
        <v>#VALUE!</v>
      </c>
      <c r="BO1" s="1" t="e">
        <f>AND('Maxi 1'!J1,"AAAAAHf/fUI=")</f>
        <v>#VALUE!</v>
      </c>
      <c r="BP1" s="1" t="e">
        <f>AND('Maxi 1'!K1,"AAAAAHf/fUM=")</f>
        <v>#VALUE!</v>
      </c>
      <c r="BQ1" s="1" t="e">
        <f>AND('Maxi 1'!L1,"AAAAAHf/fUQ=")</f>
        <v>#VALUE!</v>
      </c>
      <c r="BR1" s="1" t="e">
        <f>AND('Maxi 1'!M1,"AAAAAHf/fUU=")</f>
        <v>#VALUE!</v>
      </c>
      <c r="BS1" s="1" t="e">
        <f>AND('Maxi 1'!N1,"AAAAAHf/fUY=")</f>
        <v>#VALUE!</v>
      </c>
      <c r="BT1" s="1" t="e">
        <f>AND('Maxi 1'!O1,"AAAAAHf/fUc=")</f>
        <v>#VALUE!</v>
      </c>
      <c r="BU1" s="1" t="e">
        <f>AND('Maxi 1'!P1,"AAAAAHf/fUg=")</f>
        <v>#VALUE!</v>
      </c>
      <c r="BV1" s="1" t="e">
        <f>AND('Maxi 1'!Q1,"AAAAAHf/fUk=")</f>
        <v>#VALUE!</v>
      </c>
      <c r="BW1" s="1" t="e">
        <f>AND('Maxi 1'!R1,"AAAAAHf/fUo=")</f>
        <v>#VALUE!</v>
      </c>
      <c r="BX1" s="1" t="e">
        <f>AND('Maxi 1'!S1,"AAAAAHf/fUs=")</f>
        <v>#VALUE!</v>
      </c>
      <c r="BY1" s="1" t="e">
        <f>AND('Maxi 1'!T1,"AAAAAHf/fUw=")</f>
        <v>#VALUE!</v>
      </c>
      <c r="BZ1" s="1" t="e">
        <f>AND('Maxi 1'!U1,"AAAAAHf/fU0=")</f>
        <v>#VALUE!</v>
      </c>
      <c r="CA1" s="1" t="e">
        <f>AND('Maxi 1'!V1,"AAAAAHf/fU4=")</f>
        <v>#VALUE!</v>
      </c>
      <c r="CB1" s="1" t="e">
        <f>AND('Maxi 1'!W1,"AAAAAHf/fU8=")</f>
        <v>#VALUE!</v>
      </c>
      <c r="CC1" s="1" t="e">
        <f>AND('Maxi 1'!X1,"AAAAAHf/fVA=")</f>
        <v>#VALUE!</v>
      </c>
      <c r="CD1" s="1" t="e">
        <f>AND('Maxi 1'!Y1,"AAAAAHf/fVE=")</f>
        <v>#VALUE!</v>
      </c>
      <c r="CE1" s="1" t="e">
        <f>AND('Maxi 1'!Z1,"AAAAAHf/fVI=")</f>
        <v>#VALUE!</v>
      </c>
      <c r="CF1" s="1" t="e">
        <f>AND('Maxi 1'!AA1,"AAAAAHf/fVM=")</f>
        <v>#VALUE!</v>
      </c>
      <c r="CG1" s="1" t="e">
        <f>IF('Maxi 1'!#REF!,"AAAAAHf/fVQ=",0)</f>
        <v>#REF!</v>
      </c>
      <c r="CH1" s="1" t="e">
        <f>AND('Maxi 1'!#REF!,"AAAAAHf/fVU=")</f>
        <v>#REF!</v>
      </c>
      <c r="CI1" s="1" t="e">
        <f>AND('Maxi 1'!#REF!,"AAAAAHf/fVY=")</f>
        <v>#REF!</v>
      </c>
      <c r="CJ1" s="1" t="e">
        <f>AND('Maxi 1'!#REF!,"AAAAAHf/fVc=")</f>
        <v>#REF!</v>
      </c>
      <c r="CK1" s="1" t="e">
        <f>AND('Maxi 1'!#REF!,"AAAAAHf/fVg=")</f>
        <v>#REF!</v>
      </c>
      <c r="CL1" s="1" t="e">
        <f>AND('Maxi 1'!#REF!,"AAAAAHf/fVk=")</f>
        <v>#REF!</v>
      </c>
      <c r="CM1" s="1" t="e">
        <f>AND('Maxi 1'!#REF!,"AAAAAHf/fVo=")</f>
        <v>#REF!</v>
      </c>
      <c r="CN1" s="1" t="e">
        <f>AND('Maxi 1'!#REF!,"AAAAAHf/fVs=")</f>
        <v>#REF!</v>
      </c>
      <c r="CO1" s="1" t="e">
        <f>AND('Maxi 1'!#REF!,"AAAAAHf/fVw=")</f>
        <v>#REF!</v>
      </c>
      <c r="CP1" s="1" t="e">
        <f>AND('Maxi 1'!#REF!,"AAAAAHf/fV0=")</f>
        <v>#REF!</v>
      </c>
      <c r="CQ1" s="1" t="e">
        <f>AND('Maxi 1'!#REF!,"AAAAAHf/fV4=")</f>
        <v>#REF!</v>
      </c>
      <c r="CR1" s="1" t="e">
        <f>AND('Maxi 1'!#REF!,"AAAAAHf/fV8=")</f>
        <v>#REF!</v>
      </c>
      <c r="CS1" s="1" t="e">
        <f>AND('Maxi 1'!#REF!,"AAAAAHf/fWA=")</f>
        <v>#REF!</v>
      </c>
      <c r="CT1" s="1" t="e">
        <f>AND('Maxi 1'!#REF!,"AAAAAHf/fWE=")</f>
        <v>#REF!</v>
      </c>
      <c r="CU1" s="1" t="e">
        <f>AND('Maxi 1'!#REF!,"AAAAAHf/fWI=")</f>
        <v>#REF!</v>
      </c>
      <c r="CV1" s="1" t="e">
        <f>AND('Maxi 1'!#REF!,"AAAAAHf/fWM=")</f>
        <v>#REF!</v>
      </c>
      <c r="CW1" s="1" t="e">
        <f>AND('Maxi 1'!#REF!,"AAAAAHf/fWQ=")</f>
        <v>#REF!</v>
      </c>
      <c r="CX1" s="1" t="e">
        <f>AND('Maxi 1'!#REF!,"AAAAAHf/fWU=")</f>
        <v>#REF!</v>
      </c>
      <c r="CY1" s="1" t="e">
        <f>AND('Maxi 1'!#REF!,"AAAAAHf/fWY=")</f>
        <v>#REF!</v>
      </c>
      <c r="CZ1" s="1" t="e">
        <f>AND('Maxi 1'!#REF!,"AAAAAHf/fWc=")</f>
        <v>#REF!</v>
      </c>
      <c r="DA1" s="1" t="e">
        <f>AND('Maxi 1'!#REF!,"AAAAAHf/fWg=")</f>
        <v>#REF!</v>
      </c>
      <c r="DB1" s="1" t="e">
        <f>AND('Maxi 1'!#REF!,"AAAAAHf/fWk=")</f>
        <v>#REF!</v>
      </c>
      <c r="DC1" s="1" t="e">
        <f>AND('Maxi 1'!#REF!,"AAAAAHf/fWo=")</f>
        <v>#REF!</v>
      </c>
      <c r="DD1" s="1" t="e">
        <f>AND('Maxi 1'!#REF!,"AAAAAHf/fWs=")</f>
        <v>#REF!</v>
      </c>
      <c r="DE1" s="1" t="e">
        <f>AND('Maxi 1'!#REF!,"AAAAAHf/fWw=")</f>
        <v>#REF!</v>
      </c>
      <c r="DF1" s="1" t="e">
        <f>AND('Maxi 1'!#REF!,"AAAAAHf/fW0=")</f>
        <v>#REF!</v>
      </c>
      <c r="DG1" s="1" t="e">
        <f>AND('Maxi 1'!#REF!,"AAAAAHf/fW4=")</f>
        <v>#REF!</v>
      </c>
      <c r="DH1" s="1" t="e">
        <f>AND('Maxi 1'!#REF!,"AAAAAHf/fW8=")</f>
        <v>#REF!</v>
      </c>
      <c r="DI1" s="1">
        <f>IF('Maxi 1'!2:2,"AAAAAHf/fXA=",0)</f>
        <v>0</v>
      </c>
      <c r="DJ1" s="1" t="e">
        <f>AND('Maxi 1'!A2,"AAAAAHf/fXE=")</f>
        <v>#VALUE!</v>
      </c>
      <c r="DK1" s="1" t="e">
        <f>AND('Maxi 1'!B2,"AAAAAHf/fXI=")</f>
        <v>#VALUE!</v>
      </c>
      <c r="DL1" s="1" t="e">
        <f>AND('Maxi 1'!C2,"AAAAAHf/fXM=")</f>
        <v>#VALUE!</v>
      </c>
      <c r="DM1" s="1" t="e">
        <f>AND('Maxi 1'!D2,"AAAAAHf/fXQ=")</f>
        <v>#VALUE!</v>
      </c>
      <c r="DN1" s="1" t="e">
        <f>AND('Maxi 1'!E2,"AAAAAHf/fXU=")</f>
        <v>#VALUE!</v>
      </c>
      <c r="DO1" s="1" t="e">
        <f>AND('Maxi 1'!F2,"AAAAAHf/fXY=")</f>
        <v>#VALUE!</v>
      </c>
      <c r="DP1" s="1" t="e">
        <f>AND('Maxi 1'!G2,"AAAAAHf/fXc=")</f>
        <v>#VALUE!</v>
      </c>
      <c r="DQ1" s="1" t="e">
        <f>AND('Maxi 1'!H2,"AAAAAHf/fXg=")</f>
        <v>#VALUE!</v>
      </c>
      <c r="DR1" s="1" t="e">
        <f>AND('Maxi 1'!I2,"AAAAAHf/fXk=")</f>
        <v>#VALUE!</v>
      </c>
      <c r="DS1" s="1" t="e">
        <f>AND('Maxi 1'!J2,"AAAAAHf/fXo=")</f>
        <v>#VALUE!</v>
      </c>
      <c r="DT1" s="1" t="e">
        <f>AND('Maxi 1'!K2,"AAAAAHf/fXs=")</f>
        <v>#VALUE!</v>
      </c>
      <c r="DU1" s="1" t="e">
        <f>AND('Maxi 1'!L2,"AAAAAHf/fXw=")</f>
        <v>#VALUE!</v>
      </c>
      <c r="DV1" s="1" t="e">
        <f>AND('Maxi 1'!M2,"AAAAAHf/fX0=")</f>
        <v>#VALUE!</v>
      </c>
      <c r="DW1" s="1" t="e">
        <f>AND('Maxi 1'!N2,"AAAAAHf/fX4=")</f>
        <v>#VALUE!</v>
      </c>
      <c r="DX1" s="1" t="e">
        <f>AND('Maxi 1'!O2,"AAAAAHf/fX8=")</f>
        <v>#VALUE!</v>
      </c>
      <c r="DY1" s="1" t="e">
        <f>AND('Maxi 1'!P2,"AAAAAHf/fYA=")</f>
        <v>#VALUE!</v>
      </c>
      <c r="DZ1" s="1" t="e">
        <f>AND('Maxi 1'!Q2,"AAAAAHf/fYE=")</f>
        <v>#VALUE!</v>
      </c>
      <c r="EA1" s="1" t="e">
        <f>AND('Maxi 1'!R2,"AAAAAHf/fYI=")</f>
        <v>#VALUE!</v>
      </c>
      <c r="EB1" s="1" t="e">
        <f>AND('Maxi 1'!S2,"AAAAAHf/fYM=")</f>
        <v>#VALUE!</v>
      </c>
      <c r="EC1" s="1" t="e">
        <f>AND('Maxi 1'!T2,"AAAAAHf/fYQ=")</f>
        <v>#VALUE!</v>
      </c>
      <c r="ED1" s="1" t="e">
        <f>AND('Maxi 1'!U2,"AAAAAHf/fYU=")</f>
        <v>#VALUE!</v>
      </c>
      <c r="EE1" s="1" t="e">
        <f>AND('Maxi 1'!V2,"AAAAAHf/fYY=")</f>
        <v>#VALUE!</v>
      </c>
      <c r="EF1" s="1" t="e">
        <f>AND('Maxi 1'!W2,"AAAAAHf/fYc=")</f>
        <v>#VALUE!</v>
      </c>
      <c r="EG1" s="1" t="e">
        <f>AND('Maxi 1'!X2,"AAAAAHf/fYg=")</f>
        <v>#VALUE!</v>
      </c>
      <c r="EH1" s="1" t="e">
        <f>AND('Maxi 1'!Y2,"AAAAAHf/fYk=")</f>
        <v>#VALUE!</v>
      </c>
      <c r="EI1" s="1" t="e">
        <f>AND('Maxi 1'!Z2,"AAAAAHf/fYo=")</f>
        <v>#VALUE!</v>
      </c>
      <c r="EJ1" s="1" t="e">
        <f>AND('Maxi 1'!AA2,"AAAAAHf/fYs=")</f>
        <v>#VALUE!</v>
      </c>
      <c r="EK1" s="1">
        <f>IF('Maxi 1'!3:3,"AAAAAHf/fYw=",0)</f>
        <v>0</v>
      </c>
      <c r="EL1" s="1" t="e">
        <f>AND('Maxi 1'!A3,"AAAAAHf/fY0=")</f>
        <v>#VALUE!</v>
      </c>
      <c r="EM1" s="1" t="e">
        <f>AND('Maxi 1'!B3,"AAAAAHf/fY4=")</f>
        <v>#VALUE!</v>
      </c>
      <c r="EN1" s="1" t="e">
        <f>AND('Maxi 1'!C3,"AAAAAHf/fY8=")</f>
        <v>#VALUE!</v>
      </c>
      <c r="EO1" s="1" t="e">
        <f>AND('Maxi 1'!D3,"AAAAAHf/fZA=")</f>
        <v>#VALUE!</v>
      </c>
      <c r="EP1" s="1" t="e">
        <f>AND('Maxi 1'!E3,"AAAAAHf/fZE=")</f>
        <v>#VALUE!</v>
      </c>
      <c r="EQ1" s="1" t="e">
        <f>AND('Maxi 1'!F3,"AAAAAHf/fZI=")</f>
        <v>#VALUE!</v>
      </c>
      <c r="ER1" s="1" t="e">
        <f>AND('Maxi 1'!G3,"AAAAAHf/fZM=")</f>
        <v>#VALUE!</v>
      </c>
      <c r="ES1" s="1" t="e">
        <f>AND('Maxi 1'!H3,"AAAAAHf/fZQ=")</f>
        <v>#VALUE!</v>
      </c>
      <c r="ET1" s="1" t="e">
        <f>AND('Maxi 1'!I3,"AAAAAHf/fZU=")</f>
        <v>#VALUE!</v>
      </c>
      <c r="EU1" s="1" t="e">
        <f>AND('Maxi 1'!J3,"AAAAAHf/fZY=")</f>
        <v>#VALUE!</v>
      </c>
      <c r="EV1" s="1" t="e">
        <f>AND('Maxi 1'!K3,"AAAAAHf/fZc=")</f>
        <v>#VALUE!</v>
      </c>
      <c r="EW1" s="1" t="e">
        <f>AND('Maxi 1'!L3,"AAAAAHf/fZg=")</f>
        <v>#VALUE!</v>
      </c>
      <c r="EX1" s="1" t="e">
        <f>AND('Maxi 1'!M3,"AAAAAHf/fZk=")</f>
        <v>#VALUE!</v>
      </c>
      <c r="EY1" s="1" t="e">
        <f>AND('Maxi 1'!N3,"AAAAAHf/fZo=")</f>
        <v>#VALUE!</v>
      </c>
      <c r="EZ1" s="1" t="e">
        <f>AND('Maxi 1'!O3,"AAAAAHf/fZs=")</f>
        <v>#VALUE!</v>
      </c>
      <c r="FA1" s="1" t="e">
        <f>AND('Maxi 1'!P3,"AAAAAHf/fZw=")</f>
        <v>#VALUE!</v>
      </c>
      <c r="FB1" s="1" t="e">
        <f>AND('Maxi 1'!Q3,"AAAAAHf/fZ0=")</f>
        <v>#VALUE!</v>
      </c>
      <c r="FC1" s="1" t="e">
        <f>AND('Maxi 1'!R3,"AAAAAHf/fZ4=")</f>
        <v>#VALUE!</v>
      </c>
      <c r="FD1" s="1" t="e">
        <f>AND('Maxi 1'!S3,"AAAAAHf/fZ8=")</f>
        <v>#VALUE!</v>
      </c>
      <c r="FE1" s="1" t="e">
        <f>AND('Maxi 1'!T3,"AAAAAHf/faA=")</f>
        <v>#VALUE!</v>
      </c>
      <c r="FF1" s="1" t="e">
        <f>AND('Maxi 1'!U3,"AAAAAHf/faE=")</f>
        <v>#VALUE!</v>
      </c>
      <c r="FG1" s="1" t="e">
        <f>AND('Maxi 1'!V3,"AAAAAHf/faI=")</f>
        <v>#VALUE!</v>
      </c>
      <c r="FH1" s="1" t="e">
        <f>AND('Maxi 1'!W3,"AAAAAHf/faM=")</f>
        <v>#VALUE!</v>
      </c>
      <c r="FI1" s="1" t="e">
        <f>AND('Maxi 1'!X3,"AAAAAHf/faQ=")</f>
        <v>#VALUE!</v>
      </c>
      <c r="FJ1" s="1" t="e">
        <f>AND('Maxi 1'!Y3,"AAAAAHf/faU=")</f>
        <v>#VALUE!</v>
      </c>
      <c r="FK1" s="1" t="e">
        <f>AND('Maxi 1'!Z3,"AAAAAHf/faY=")</f>
        <v>#VALUE!</v>
      </c>
      <c r="FL1" s="1" t="e">
        <f>AND('Maxi 1'!AA3,"AAAAAHf/fac=")</f>
        <v>#VALUE!</v>
      </c>
      <c r="FM1" s="1">
        <f>IF('Maxi 1'!4:4,"AAAAAHf/fag=",0)</f>
        <v>0</v>
      </c>
      <c r="FN1" s="1" t="e">
        <f>AND('Maxi 1'!A4,"AAAAAHf/fak=")</f>
        <v>#VALUE!</v>
      </c>
      <c r="FO1" s="1" t="e">
        <f>AND('Maxi 1'!B4,"AAAAAHf/fao=")</f>
        <v>#VALUE!</v>
      </c>
      <c r="FP1" s="1" t="e">
        <f>AND('Maxi 1'!C4,"AAAAAHf/fas=")</f>
        <v>#VALUE!</v>
      </c>
      <c r="FQ1" s="1" t="e">
        <f>AND('Maxi 1'!D4,"AAAAAHf/faw=")</f>
        <v>#VALUE!</v>
      </c>
      <c r="FR1" s="1" t="e">
        <f>AND('Maxi 1'!E4,"AAAAAHf/fa0=")</f>
        <v>#VALUE!</v>
      </c>
      <c r="FS1" s="1" t="e">
        <f>AND('Maxi 1'!F4,"AAAAAHf/fa4=")</f>
        <v>#VALUE!</v>
      </c>
      <c r="FT1" s="1" t="e">
        <f>AND('Maxi 1'!G4,"AAAAAHf/fa8=")</f>
        <v>#VALUE!</v>
      </c>
      <c r="FU1" s="1" t="e">
        <f>AND('Maxi 1'!H4,"AAAAAHf/fbA=")</f>
        <v>#VALUE!</v>
      </c>
      <c r="FV1" s="1" t="e">
        <f>AND('Maxi 1'!I4,"AAAAAHf/fbE=")</f>
        <v>#VALUE!</v>
      </c>
      <c r="FW1" s="1" t="e">
        <f>AND('Maxi 1'!J4,"AAAAAHf/fbI=")</f>
        <v>#VALUE!</v>
      </c>
      <c r="FX1" s="1" t="e">
        <f>AND('Maxi 1'!K4,"AAAAAHf/fbM=")</f>
        <v>#VALUE!</v>
      </c>
      <c r="FY1" s="1" t="e">
        <f>AND('Maxi 1'!L4,"AAAAAHf/fbQ=")</f>
        <v>#VALUE!</v>
      </c>
      <c r="FZ1" s="1" t="e">
        <f>AND('Maxi 1'!M4,"AAAAAHf/fbU=")</f>
        <v>#VALUE!</v>
      </c>
      <c r="GA1" s="1" t="e">
        <f>AND('Maxi 1'!N4,"AAAAAHf/fbY=")</f>
        <v>#VALUE!</v>
      </c>
      <c r="GB1" s="1" t="e">
        <f>AND('Maxi 1'!O4,"AAAAAHf/fbc=")</f>
        <v>#VALUE!</v>
      </c>
      <c r="GC1" s="1" t="e">
        <f>AND('Maxi 1'!P4,"AAAAAHf/fbg=")</f>
        <v>#VALUE!</v>
      </c>
      <c r="GD1" s="1" t="e">
        <f>AND('Maxi 1'!Q4,"AAAAAHf/fbk=")</f>
        <v>#VALUE!</v>
      </c>
      <c r="GE1" s="1" t="e">
        <f>AND('Maxi 1'!R4,"AAAAAHf/fbo=")</f>
        <v>#VALUE!</v>
      </c>
      <c r="GF1" s="1" t="e">
        <f>AND('Maxi 1'!S4,"AAAAAHf/fbs=")</f>
        <v>#VALUE!</v>
      </c>
      <c r="GG1" s="1" t="e">
        <f>AND('Maxi 1'!T4,"AAAAAHf/fbw=")</f>
        <v>#VALUE!</v>
      </c>
      <c r="GH1" s="1" t="e">
        <f>AND('Maxi 1'!U4,"AAAAAHf/fb0=")</f>
        <v>#VALUE!</v>
      </c>
      <c r="GI1" s="1" t="e">
        <f>AND('Maxi 1'!V4,"AAAAAHf/fb4=")</f>
        <v>#VALUE!</v>
      </c>
      <c r="GJ1" s="1" t="e">
        <f>AND('Maxi 1'!W4,"AAAAAHf/fb8=")</f>
        <v>#VALUE!</v>
      </c>
      <c r="GK1" s="1" t="e">
        <f>AND('Maxi 1'!X4,"AAAAAHf/fcA=")</f>
        <v>#VALUE!</v>
      </c>
      <c r="GL1" s="1" t="e">
        <f>AND('Maxi 1'!Y4,"AAAAAHf/fcE=")</f>
        <v>#VALUE!</v>
      </c>
      <c r="GM1" s="1" t="e">
        <f>AND('Maxi 1'!Z4,"AAAAAHf/fcI=")</f>
        <v>#VALUE!</v>
      </c>
      <c r="GN1" s="1" t="e">
        <f>AND('Maxi 1'!AA4,"AAAAAHf/fcM=")</f>
        <v>#VALUE!</v>
      </c>
      <c r="GO1" s="1">
        <f>IF('Maxi 1'!5:5,"AAAAAHf/fcQ=",0)</f>
        <v>0</v>
      </c>
      <c r="GP1" s="1" t="e">
        <f>AND('Maxi 1'!A5,"AAAAAHf/fcU=")</f>
        <v>#VALUE!</v>
      </c>
      <c r="GQ1" s="1" t="e">
        <f>AND('Maxi 1'!B5,"AAAAAHf/fcY=")</f>
        <v>#VALUE!</v>
      </c>
      <c r="GR1" s="1" t="e">
        <f>AND('Maxi 1'!C5,"AAAAAHf/fcc=")</f>
        <v>#VALUE!</v>
      </c>
      <c r="GS1" s="1" t="e">
        <f>AND('Maxi 1'!D5,"AAAAAHf/fcg=")</f>
        <v>#VALUE!</v>
      </c>
      <c r="GT1" s="1" t="e">
        <f>AND('Maxi 1'!E5,"AAAAAHf/fck=")</f>
        <v>#VALUE!</v>
      </c>
      <c r="GU1" s="1" t="e">
        <f>AND('Maxi 1'!F5,"AAAAAHf/fco=")</f>
        <v>#VALUE!</v>
      </c>
      <c r="GV1" s="1" t="e">
        <f>AND('Maxi 1'!G5,"AAAAAHf/fcs=")</f>
        <v>#VALUE!</v>
      </c>
      <c r="GW1" s="1" t="e">
        <f>AND('Maxi 1'!H5,"AAAAAHf/fcw=")</f>
        <v>#VALUE!</v>
      </c>
      <c r="GX1" s="1" t="e">
        <f>AND('Maxi 1'!I5,"AAAAAHf/fc0=")</f>
        <v>#VALUE!</v>
      </c>
      <c r="GY1" s="1" t="e">
        <f>AND('Maxi 1'!J5,"AAAAAHf/fc4=")</f>
        <v>#VALUE!</v>
      </c>
      <c r="GZ1" s="1" t="e">
        <f>AND('Maxi 1'!K5,"AAAAAHf/fc8=")</f>
        <v>#VALUE!</v>
      </c>
      <c r="HA1" s="1" t="e">
        <f>AND('Maxi 1'!L5,"AAAAAHf/fdA=")</f>
        <v>#VALUE!</v>
      </c>
      <c r="HB1" s="1" t="e">
        <f>AND('Maxi 1'!M5,"AAAAAHf/fdE=")</f>
        <v>#VALUE!</v>
      </c>
      <c r="HC1" s="1" t="e">
        <f>AND('Maxi 1'!N5,"AAAAAHf/fdI=")</f>
        <v>#VALUE!</v>
      </c>
      <c r="HD1" s="1" t="e">
        <f>AND('Maxi 1'!O5,"AAAAAHf/fdM=")</f>
        <v>#VALUE!</v>
      </c>
      <c r="HE1" s="1" t="e">
        <f>AND('Maxi 1'!P5,"AAAAAHf/fdQ=")</f>
        <v>#VALUE!</v>
      </c>
      <c r="HF1" s="1" t="e">
        <f>AND('Maxi 1'!Q5,"AAAAAHf/fdU=")</f>
        <v>#VALUE!</v>
      </c>
      <c r="HG1" s="1" t="e">
        <f>AND('Maxi 1'!R5,"AAAAAHf/fdY=")</f>
        <v>#VALUE!</v>
      </c>
      <c r="HH1" s="1" t="e">
        <f>AND('Maxi 1'!S5,"AAAAAHf/fdc=")</f>
        <v>#VALUE!</v>
      </c>
      <c r="HI1" s="1" t="e">
        <f>AND('Maxi 1'!T5,"AAAAAHf/fdg=")</f>
        <v>#VALUE!</v>
      </c>
      <c r="HJ1" s="1" t="e">
        <f>AND('Maxi 1'!U5,"AAAAAHf/fdk=")</f>
        <v>#VALUE!</v>
      </c>
      <c r="HK1" s="1" t="e">
        <f>AND('Maxi 1'!V5,"AAAAAHf/fdo=")</f>
        <v>#VALUE!</v>
      </c>
      <c r="HL1" s="1" t="e">
        <f>AND('Maxi 1'!W5,"AAAAAHf/fds=")</f>
        <v>#VALUE!</v>
      </c>
      <c r="HM1" s="1" t="e">
        <f>AND('Maxi 1'!X5,"AAAAAHf/fdw=")</f>
        <v>#VALUE!</v>
      </c>
      <c r="HN1" s="1" t="e">
        <f>AND('Maxi 1'!Y5,"AAAAAHf/fd0=")</f>
        <v>#VALUE!</v>
      </c>
      <c r="HO1" s="1" t="e">
        <f>AND('Maxi 1'!Z5,"AAAAAHf/fd4=")</f>
        <v>#VALUE!</v>
      </c>
      <c r="HP1" s="1" t="e">
        <f>AND('Maxi 1'!AA5,"AAAAAHf/fd8=")</f>
        <v>#VALUE!</v>
      </c>
      <c r="HQ1" s="1">
        <f>IF('Maxi 1'!6:6,"AAAAAHf/feA=",0)</f>
        <v>0</v>
      </c>
      <c r="HR1" s="1" t="e">
        <f>AND('Maxi 1'!A6,"AAAAAHf/feE=")</f>
        <v>#VALUE!</v>
      </c>
      <c r="HS1" s="1" t="e">
        <f>AND('Maxi 1'!B6,"AAAAAHf/feI=")</f>
        <v>#VALUE!</v>
      </c>
      <c r="HT1" s="1" t="e">
        <f>AND('Maxi 1'!C6,"AAAAAHf/feM=")</f>
        <v>#VALUE!</v>
      </c>
      <c r="HU1" s="1" t="e">
        <f>AND('Maxi 1'!D6,"AAAAAHf/feQ=")</f>
        <v>#VALUE!</v>
      </c>
      <c r="HV1" s="1" t="e">
        <f>AND('Maxi 1'!E6,"AAAAAHf/feU=")</f>
        <v>#VALUE!</v>
      </c>
      <c r="HW1" s="1" t="e">
        <f>AND('Maxi 1'!F6,"AAAAAHf/feY=")</f>
        <v>#VALUE!</v>
      </c>
      <c r="HX1" s="1" t="e">
        <f>AND('Maxi 1'!G6,"AAAAAHf/fec=")</f>
        <v>#VALUE!</v>
      </c>
      <c r="HY1" s="1" t="e">
        <f>AND('Maxi 1'!H6,"AAAAAHf/feg=")</f>
        <v>#VALUE!</v>
      </c>
      <c r="HZ1" s="1" t="e">
        <f>AND('Maxi 1'!I6,"AAAAAHf/fek=")</f>
        <v>#VALUE!</v>
      </c>
      <c r="IA1" s="1" t="e">
        <f>AND('Maxi 1'!J6,"AAAAAHf/feo=")</f>
        <v>#VALUE!</v>
      </c>
      <c r="IB1" s="1" t="e">
        <f>AND('Maxi 1'!K6,"AAAAAHf/fes=")</f>
        <v>#VALUE!</v>
      </c>
      <c r="IC1" s="1" t="e">
        <f>AND('Maxi 1'!L6,"AAAAAHf/few=")</f>
        <v>#VALUE!</v>
      </c>
      <c r="ID1" s="1" t="e">
        <f>AND('Maxi 1'!M6,"AAAAAHf/fe0=")</f>
        <v>#VALUE!</v>
      </c>
      <c r="IE1" s="1" t="e">
        <f>AND('Maxi 1'!N6,"AAAAAHf/fe4=")</f>
        <v>#VALUE!</v>
      </c>
      <c r="IF1" s="1" t="e">
        <f>AND('Maxi 1'!O6,"AAAAAHf/fe8=")</f>
        <v>#VALUE!</v>
      </c>
      <c r="IG1" s="1" t="e">
        <f>AND('Maxi 1'!P6,"AAAAAHf/ffA=")</f>
        <v>#VALUE!</v>
      </c>
      <c r="IH1" s="1" t="e">
        <f>AND('Maxi 1'!Q6,"AAAAAHf/ffE=")</f>
        <v>#VALUE!</v>
      </c>
      <c r="II1" s="1" t="e">
        <f>AND('Maxi 1'!R6,"AAAAAHf/ffI=")</f>
        <v>#VALUE!</v>
      </c>
      <c r="IJ1" s="1" t="e">
        <f>AND('Maxi 1'!S6,"AAAAAHf/ffM=")</f>
        <v>#VALUE!</v>
      </c>
      <c r="IK1" s="1" t="e">
        <f>AND('Maxi 1'!T6,"AAAAAHf/ffQ=")</f>
        <v>#VALUE!</v>
      </c>
      <c r="IL1" s="1" t="e">
        <f>AND('Maxi 1'!U6,"AAAAAHf/ffU=")</f>
        <v>#VALUE!</v>
      </c>
      <c r="IM1" s="1" t="e">
        <f>AND('Maxi 1'!V6,"AAAAAHf/ffY=")</f>
        <v>#VALUE!</v>
      </c>
      <c r="IN1" s="1" t="e">
        <f>AND('Maxi 1'!W6,"AAAAAHf/ffc=")</f>
        <v>#VALUE!</v>
      </c>
      <c r="IO1" s="1" t="e">
        <f>AND('Maxi 1'!X6,"AAAAAHf/ffg=")</f>
        <v>#VALUE!</v>
      </c>
      <c r="IP1" s="1" t="e">
        <f>AND('Maxi 1'!Y6,"AAAAAHf/ffk=")</f>
        <v>#VALUE!</v>
      </c>
      <c r="IQ1" s="1" t="e">
        <f>AND('Maxi 1'!Z6,"AAAAAHf/ffo=")</f>
        <v>#VALUE!</v>
      </c>
      <c r="IR1" s="1" t="e">
        <f>AND('Maxi 1'!AA6,"AAAAAHf/ffs=")</f>
        <v>#VALUE!</v>
      </c>
      <c r="IS1" s="1">
        <f>IF('Maxi 1'!7:7,"AAAAAHf/ffw=",0)</f>
        <v>0</v>
      </c>
      <c r="IT1" s="1" t="e">
        <f>AND('Maxi 1'!A7,"AAAAAHf/ff0=")</f>
        <v>#VALUE!</v>
      </c>
      <c r="IU1" s="1" t="e">
        <f>AND('Maxi 1'!B7,"AAAAAHf/ff4=")</f>
        <v>#VALUE!</v>
      </c>
      <c r="IV1" s="1" t="e">
        <f>AND('Maxi 1'!C7,"AAAAAHf/ff8=")</f>
        <v>#VALUE!</v>
      </c>
    </row>
    <row r="2" spans="1:256" ht="15" customHeight="1" x14ac:dyDescent="0.2">
      <c r="A2" s="1" t="e">
        <f>AND('Maxi 1'!D7,"AAAAAH/t7AA=")</f>
        <v>#VALUE!</v>
      </c>
      <c r="B2" s="1" t="e">
        <f>AND('Maxi 1'!E7,"AAAAAH/t7AE=")</f>
        <v>#VALUE!</v>
      </c>
      <c r="C2" s="1" t="e">
        <f>AND('Maxi 1'!F7,"AAAAAH/t7AI=")</f>
        <v>#VALUE!</v>
      </c>
      <c r="D2" s="1" t="e">
        <f>AND('Maxi 1'!G7,"AAAAAH/t7AM=")</f>
        <v>#VALUE!</v>
      </c>
      <c r="E2" s="1" t="e">
        <f>AND('Maxi 1'!H7,"AAAAAH/t7AQ=")</f>
        <v>#VALUE!</v>
      </c>
      <c r="F2" s="1" t="e">
        <f>AND('Maxi 1'!I7,"AAAAAH/t7AU=")</f>
        <v>#VALUE!</v>
      </c>
      <c r="G2" s="1" t="e">
        <f>AND('Maxi 1'!J7,"AAAAAH/t7AY=")</f>
        <v>#VALUE!</v>
      </c>
      <c r="H2" s="1" t="e">
        <f>AND('Maxi 1'!K7,"AAAAAH/t7Ac=")</f>
        <v>#VALUE!</v>
      </c>
      <c r="I2" s="1" t="e">
        <f>AND('Maxi 1'!L7,"AAAAAH/t7Ag=")</f>
        <v>#VALUE!</v>
      </c>
      <c r="J2" s="1" t="e">
        <f>AND('Maxi 1'!M7,"AAAAAH/t7Ak=")</f>
        <v>#VALUE!</v>
      </c>
      <c r="K2" s="1" t="e">
        <f>AND('Maxi 1'!N7,"AAAAAH/t7Ao=")</f>
        <v>#VALUE!</v>
      </c>
      <c r="L2" s="1" t="e">
        <f>AND('Maxi 1'!O7,"AAAAAH/t7As=")</f>
        <v>#VALUE!</v>
      </c>
      <c r="M2" s="1" t="e">
        <f>AND('Maxi 1'!P7,"AAAAAH/t7Aw=")</f>
        <v>#VALUE!</v>
      </c>
      <c r="N2" s="1" t="e">
        <f>AND('Maxi 1'!Q7,"AAAAAH/t7A0=")</f>
        <v>#VALUE!</v>
      </c>
      <c r="O2" s="1" t="e">
        <f>AND('Maxi 1'!R7,"AAAAAH/t7A4=")</f>
        <v>#VALUE!</v>
      </c>
      <c r="P2" s="1" t="e">
        <f>AND('Maxi 1'!S7,"AAAAAH/t7A8=")</f>
        <v>#VALUE!</v>
      </c>
      <c r="Q2" s="1" t="e">
        <f>AND('Maxi 1'!T7,"AAAAAH/t7BA=")</f>
        <v>#VALUE!</v>
      </c>
      <c r="R2" s="1" t="e">
        <f>AND('Maxi 1'!U7,"AAAAAH/t7BE=")</f>
        <v>#VALUE!</v>
      </c>
      <c r="S2" s="1" t="e">
        <f>AND('Maxi 1'!V7,"AAAAAH/t7BI=")</f>
        <v>#VALUE!</v>
      </c>
      <c r="T2" s="1" t="e">
        <f>AND('Maxi 1'!W7,"AAAAAH/t7BM=")</f>
        <v>#VALUE!</v>
      </c>
      <c r="U2" s="1" t="e">
        <f>AND('Maxi 1'!X7,"AAAAAH/t7BQ=")</f>
        <v>#VALUE!</v>
      </c>
      <c r="V2" s="1" t="e">
        <f>AND('Maxi 1'!Y7,"AAAAAH/t7BU=")</f>
        <v>#VALUE!</v>
      </c>
      <c r="W2" s="1" t="e">
        <f>AND('Maxi 1'!Z7,"AAAAAH/t7BY=")</f>
        <v>#VALUE!</v>
      </c>
      <c r="X2" s="1" t="e">
        <f>AND('Maxi 1'!AA7,"AAAAAH/t7Bc=")</f>
        <v>#VALUE!</v>
      </c>
      <c r="Y2" s="1">
        <f>IF('Maxi 1'!8:8,"AAAAAH/t7Bg=",0)</f>
        <v>0</v>
      </c>
      <c r="Z2" s="1" t="e">
        <f>AND('Maxi 1'!A8,"AAAAAH/t7Bk=")</f>
        <v>#VALUE!</v>
      </c>
      <c r="AA2" s="1" t="e">
        <f>AND('Maxi 1'!B8,"AAAAAH/t7Bo=")</f>
        <v>#VALUE!</v>
      </c>
      <c r="AB2" s="1" t="e">
        <f>AND('Maxi 1'!C8,"AAAAAH/t7Bs=")</f>
        <v>#VALUE!</v>
      </c>
      <c r="AC2" s="1" t="e">
        <f>AND('Maxi 1'!D8,"AAAAAH/t7Bw=")</f>
        <v>#VALUE!</v>
      </c>
      <c r="AD2" s="1" t="e">
        <f>AND('Maxi 1'!E8,"AAAAAH/t7B0=")</f>
        <v>#VALUE!</v>
      </c>
      <c r="AE2" s="1" t="e">
        <f>AND('Maxi 1'!F8,"AAAAAH/t7B4=")</f>
        <v>#VALUE!</v>
      </c>
      <c r="AF2" s="1" t="e">
        <f>AND('Maxi 1'!G8,"AAAAAH/t7B8=")</f>
        <v>#VALUE!</v>
      </c>
      <c r="AG2" s="1" t="e">
        <f>AND('Maxi 1'!H8,"AAAAAH/t7CA=")</f>
        <v>#VALUE!</v>
      </c>
      <c r="AH2" s="1" t="e">
        <f>AND('Maxi 1'!I8,"AAAAAH/t7CE=")</f>
        <v>#VALUE!</v>
      </c>
      <c r="AI2" s="1" t="e">
        <f>AND('Maxi 1'!J8,"AAAAAH/t7CI=")</f>
        <v>#VALUE!</v>
      </c>
      <c r="AJ2" s="1" t="e">
        <f>AND('Maxi 1'!K8,"AAAAAH/t7CM=")</f>
        <v>#VALUE!</v>
      </c>
      <c r="AK2" s="1" t="e">
        <f>AND('Maxi 1'!L8,"AAAAAH/t7CQ=")</f>
        <v>#VALUE!</v>
      </c>
      <c r="AL2" s="1" t="e">
        <f>AND('Maxi 1'!M8,"AAAAAH/t7CU=")</f>
        <v>#VALUE!</v>
      </c>
      <c r="AM2" s="1" t="e">
        <f>AND('Maxi 1'!N8,"AAAAAH/t7CY=")</f>
        <v>#VALUE!</v>
      </c>
      <c r="AN2" s="1" t="e">
        <f>AND('Maxi 1'!O8,"AAAAAH/t7Cc=")</f>
        <v>#VALUE!</v>
      </c>
      <c r="AO2" s="1" t="e">
        <f>AND('Maxi 1'!P8,"AAAAAH/t7Cg=")</f>
        <v>#VALUE!</v>
      </c>
      <c r="AP2" s="1" t="e">
        <f>AND('Maxi 1'!Q8,"AAAAAH/t7Ck=")</f>
        <v>#VALUE!</v>
      </c>
      <c r="AQ2" s="1" t="e">
        <f>AND('Maxi 1'!R8,"AAAAAH/t7Co=")</f>
        <v>#VALUE!</v>
      </c>
      <c r="AR2" s="1" t="e">
        <f>AND('Maxi 1'!S8,"AAAAAH/t7Cs=")</f>
        <v>#VALUE!</v>
      </c>
      <c r="AS2" s="1" t="e">
        <f>AND('Maxi 1'!T8,"AAAAAH/t7Cw=")</f>
        <v>#VALUE!</v>
      </c>
      <c r="AT2" s="1" t="e">
        <f>AND('Maxi 1'!U8,"AAAAAH/t7C0=")</f>
        <v>#VALUE!</v>
      </c>
      <c r="AU2" s="1" t="e">
        <f>AND('Maxi 1'!V8,"AAAAAH/t7C4=")</f>
        <v>#VALUE!</v>
      </c>
      <c r="AV2" s="1" t="e">
        <f>AND('Maxi 1'!W8,"AAAAAH/t7C8=")</f>
        <v>#VALUE!</v>
      </c>
      <c r="AW2" s="1" t="e">
        <f>AND('Maxi 1'!X8,"AAAAAH/t7DA=")</f>
        <v>#VALUE!</v>
      </c>
      <c r="AX2" s="1" t="e">
        <f>AND('Maxi 1'!Y8,"AAAAAH/t7DE=")</f>
        <v>#VALUE!</v>
      </c>
      <c r="AY2" s="1" t="e">
        <f>AND('Maxi 1'!Z8,"AAAAAH/t7DI=")</f>
        <v>#VALUE!</v>
      </c>
      <c r="AZ2" s="1" t="e">
        <f>AND('Maxi 1'!AA8,"AAAAAH/t7DM=")</f>
        <v>#VALUE!</v>
      </c>
      <c r="BA2" s="1">
        <f>IF('Maxi 1'!9:9,"AAAAAH/t7DQ=",0)</f>
        <v>0</v>
      </c>
      <c r="BB2" s="1" t="e">
        <f>AND('Maxi 1'!A9,"AAAAAH/t7DU=")</f>
        <v>#VALUE!</v>
      </c>
      <c r="BC2" s="1" t="e">
        <f>AND('Maxi 1'!B9,"AAAAAH/t7DY=")</f>
        <v>#VALUE!</v>
      </c>
      <c r="BD2" s="1" t="e">
        <f>AND('Maxi 1'!C9,"AAAAAH/t7Dc=")</f>
        <v>#VALUE!</v>
      </c>
      <c r="BE2" s="1" t="e">
        <f>AND('Maxi 1'!D9,"AAAAAH/t7Dg=")</f>
        <v>#VALUE!</v>
      </c>
      <c r="BF2" s="1" t="e">
        <f>AND('Maxi 1'!E9,"AAAAAH/t7Dk=")</f>
        <v>#VALUE!</v>
      </c>
      <c r="BG2" s="1" t="e">
        <f>AND('Maxi 1'!F9,"AAAAAH/t7Do=")</f>
        <v>#VALUE!</v>
      </c>
      <c r="BH2" s="1" t="e">
        <f>AND('Maxi 1'!G9,"AAAAAH/t7Ds=")</f>
        <v>#VALUE!</v>
      </c>
      <c r="BI2" s="1" t="e">
        <f>AND('Maxi 1'!H9,"AAAAAH/t7Dw=")</f>
        <v>#VALUE!</v>
      </c>
      <c r="BJ2" s="1" t="e">
        <f>AND('Maxi 1'!I9,"AAAAAH/t7D0=")</f>
        <v>#VALUE!</v>
      </c>
      <c r="BK2" s="1" t="e">
        <f>AND('Maxi 1'!J9,"AAAAAH/t7D4=")</f>
        <v>#VALUE!</v>
      </c>
      <c r="BL2" s="1" t="e">
        <f>AND('Maxi 1'!K9,"AAAAAH/t7D8=")</f>
        <v>#VALUE!</v>
      </c>
      <c r="BM2" s="1" t="e">
        <f>AND('Maxi 1'!L9,"AAAAAH/t7EA=")</f>
        <v>#VALUE!</v>
      </c>
      <c r="BN2" s="1" t="e">
        <f>AND('Maxi 1'!M9,"AAAAAH/t7EE=")</f>
        <v>#VALUE!</v>
      </c>
      <c r="BO2" s="1" t="e">
        <f>AND('Maxi 1'!N9,"AAAAAH/t7EI=")</f>
        <v>#VALUE!</v>
      </c>
      <c r="BP2" s="1" t="e">
        <f>AND('Maxi 1'!O9,"AAAAAH/t7EM=")</f>
        <v>#VALUE!</v>
      </c>
      <c r="BQ2" s="1" t="e">
        <f>AND('Maxi 1'!P9,"AAAAAH/t7EQ=")</f>
        <v>#VALUE!</v>
      </c>
      <c r="BR2" s="1" t="e">
        <f>AND('Maxi 1'!Q9,"AAAAAH/t7EU=")</f>
        <v>#VALUE!</v>
      </c>
      <c r="BS2" s="1" t="e">
        <f>AND('Maxi 1'!R9,"AAAAAH/t7EY=")</f>
        <v>#VALUE!</v>
      </c>
      <c r="BT2" s="1" t="e">
        <f>AND('Maxi 1'!S9,"AAAAAH/t7Ec=")</f>
        <v>#VALUE!</v>
      </c>
      <c r="BU2" s="1" t="e">
        <f>AND('Maxi 1'!T9,"AAAAAH/t7Eg=")</f>
        <v>#VALUE!</v>
      </c>
      <c r="BV2" s="1" t="e">
        <f>AND('Maxi 1'!U9,"AAAAAH/t7Ek=")</f>
        <v>#VALUE!</v>
      </c>
      <c r="BW2" s="1" t="e">
        <f>AND('Maxi 1'!V9,"AAAAAH/t7Eo=")</f>
        <v>#VALUE!</v>
      </c>
      <c r="BX2" s="1" t="e">
        <f>AND('Maxi 1'!W9,"AAAAAH/t7Es=")</f>
        <v>#VALUE!</v>
      </c>
      <c r="BY2" s="1" t="e">
        <f>AND('Maxi 1'!X9,"AAAAAH/t7Ew=")</f>
        <v>#VALUE!</v>
      </c>
      <c r="BZ2" s="1" t="e">
        <f>AND('Maxi 1'!Y9,"AAAAAH/t7E0=")</f>
        <v>#VALUE!</v>
      </c>
      <c r="CA2" s="1" t="e">
        <f>AND('Maxi 1'!Z9,"AAAAAH/t7E4=")</f>
        <v>#VALUE!</v>
      </c>
      <c r="CB2" s="1" t="e">
        <f>AND('Maxi 1'!AA9,"AAAAAH/t7E8=")</f>
        <v>#VALUE!</v>
      </c>
      <c r="CC2" s="1">
        <f>IF('Maxi 1'!10:10,"AAAAAH/t7FA=",0)</f>
        <v>0</v>
      </c>
      <c r="CD2" s="1" t="e">
        <f>AND('Maxi 1'!A10,"AAAAAH/t7FE=")</f>
        <v>#VALUE!</v>
      </c>
      <c r="CE2" s="1" t="e">
        <f>AND('Maxi 1'!B10,"AAAAAH/t7FI=")</f>
        <v>#VALUE!</v>
      </c>
      <c r="CF2" s="1" t="e">
        <f>AND('Maxi 1'!C10,"AAAAAH/t7FM=")</f>
        <v>#VALUE!</v>
      </c>
      <c r="CG2" s="1" t="e">
        <f>AND('Maxi 1'!D10,"AAAAAH/t7FQ=")</f>
        <v>#VALUE!</v>
      </c>
      <c r="CH2" s="1" t="e">
        <f>AND('Maxi 1'!E10,"AAAAAH/t7FU=")</f>
        <v>#VALUE!</v>
      </c>
      <c r="CI2" s="1" t="e">
        <f>AND('Maxi 1'!F10,"AAAAAH/t7FY=")</f>
        <v>#VALUE!</v>
      </c>
      <c r="CJ2" s="1" t="e">
        <f>AND('Maxi 1'!G10,"AAAAAH/t7Fc=")</f>
        <v>#VALUE!</v>
      </c>
      <c r="CK2" s="1" t="e">
        <f>AND('Maxi 1'!H10,"AAAAAH/t7Fg=")</f>
        <v>#VALUE!</v>
      </c>
      <c r="CL2" s="1" t="e">
        <f>AND('Maxi 1'!I10,"AAAAAH/t7Fk=")</f>
        <v>#VALUE!</v>
      </c>
      <c r="CM2" s="1" t="e">
        <f>AND('Maxi 1'!J10,"AAAAAH/t7Fo=")</f>
        <v>#VALUE!</v>
      </c>
      <c r="CN2" s="1" t="e">
        <f>AND('Maxi 1'!K10,"AAAAAH/t7Fs=")</f>
        <v>#VALUE!</v>
      </c>
      <c r="CO2" s="1" t="e">
        <f>AND('Maxi 1'!L10,"AAAAAH/t7Fw=")</f>
        <v>#VALUE!</v>
      </c>
      <c r="CP2" s="1" t="e">
        <f>AND('Maxi 1'!M10,"AAAAAH/t7F0=")</f>
        <v>#VALUE!</v>
      </c>
      <c r="CQ2" s="1" t="e">
        <f>AND('Maxi 1'!N10,"AAAAAH/t7F4=")</f>
        <v>#VALUE!</v>
      </c>
      <c r="CR2" s="1" t="e">
        <f>AND('Maxi 1'!O10,"AAAAAH/t7F8=")</f>
        <v>#VALUE!</v>
      </c>
      <c r="CS2" s="1" t="e">
        <f>AND('Maxi 1'!P10,"AAAAAH/t7GA=")</f>
        <v>#VALUE!</v>
      </c>
      <c r="CT2" s="1" t="e">
        <f>AND('Maxi 1'!Q10,"AAAAAH/t7GE=")</f>
        <v>#VALUE!</v>
      </c>
      <c r="CU2" s="1" t="e">
        <f>AND('Maxi 1'!R10,"AAAAAH/t7GI=")</f>
        <v>#VALUE!</v>
      </c>
      <c r="CV2" s="1" t="e">
        <f>AND('Maxi 1'!S10,"AAAAAH/t7GM=")</f>
        <v>#VALUE!</v>
      </c>
      <c r="CW2" s="1" t="e">
        <f>AND('Maxi 1'!T10,"AAAAAH/t7GQ=")</f>
        <v>#VALUE!</v>
      </c>
      <c r="CX2" s="1" t="e">
        <f>AND('Maxi 1'!U10,"AAAAAH/t7GU=")</f>
        <v>#VALUE!</v>
      </c>
      <c r="CY2" s="1" t="e">
        <f>AND('Maxi 1'!V10,"AAAAAH/t7GY=")</f>
        <v>#VALUE!</v>
      </c>
      <c r="CZ2" s="1" t="e">
        <f>AND('Maxi 1'!W10,"AAAAAH/t7Gc=")</f>
        <v>#VALUE!</v>
      </c>
      <c r="DA2" s="1" t="e">
        <f>AND('Maxi 1'!X10,"AAAAAH/t7Gg=")</f>
        <v>#VALUE!</v>
      </c>
      <c r="DB2" s="1" t="e">
        <f>AND('Maxi 1'!Y10,"AAAAAH/t7Gk=")</f>
        <v>#VALUE!</v>
      </c>
      <c r="DC2" s="1" t="e">
        <f>AND('Maxi 1'!Z10,"AAAAAH/t7Go=")</f>
        <v>#VALUE!</v>
      </c>
      <c r="DD2" s="1" t="e">
        <f>AND('Maxi 1'!AA10,"AAAAAH/t7Gs=")</f>
        <v>#VALUE!</v>
      </c>
      <c r="DE2" s="1">
        <f>IF('Maxi 1'!11:11,"AAAAAH/t7Gw=",0)</f>
        <v>0</v>
      </c>
      <c r="DF2" s="1" t="e">
        <f>AND('Maxi 1'!A11,"AAAAAH/t7G0=")</f>
        <v>#VALUE!</v>
      </c>
      <c r="DG2" s="1" t="e">
        <f>AND('Maxi 1'!B11,"AAAAAH/t7G4=")</f>
        <v>#VALUE!</v>
      </c>
      <c r="DH2" s="1" t="e">
        <f>AND('Maxi 1'!C11,"AAAAAH/t7G8=")</f>
        <v>#VALUE!</v>
      </c>
      <c r="DI2" s="1" t="e">
        <f>AND('Maxi 1'!D11,"AAAAAH/t7HA=")</f>
        <v>#VALUE!</v>
      </c>
      <c r="DJ2" s="1" t="e">
        <f>AND('Maxi 1'!E11,"AAAAAH/t7HE=")</f>
        <v>#VALUE!</v>
      </c>
      <c r="DK2" s="1" t="e">
        <f>AND('Maxi 1'!F11,"AAAAAH/t7HI=")</f>
        <v>#VALUE!</v>
      </c>
      <c r="DL2" s="1" t="e">
        <f>AND('Maxi 1'!G11,"AAAAAH/t7HM=")</f>
        <v>#VALUE!</v>
      </c>
      <c r="DM2" s="1" t="e">
        <f>AND('Maxi 1'!H11,"AAAAAH/t7HQ=")</f>
        <v>#VALUE!</v>
      </c>
      <c r="DN2" s="1" t="e">
        <f>AND('Maxi 1'!I11,"AAAAAH/t7HU=")</f>
        <v>#VALUE!</v>
      </c>
      <c r="DO2" s="1" t="e">
        <f>AND('Maxi 1'!J11,"AAAAAH/t7HY=")</f>
        <v>#VALUE!</v>
      </c>
      <c r="DP2" s="1" t="e">
        <f>AND('Maxi 1'!K11,"AAAAAH/t7Hc=")</f>
        <v>#VALUE!</v>
      </c>
      <c r="DQ2" s="1" t="e">
        <f>AND('Maxi 1'!L11,"AAAAAH/t7Hg=")</f>
        <v>#VALUE!</v>
      </c>
      <c r="DR2" s="1" t="e">
        <f>AND('Maxi 1'!M11,"AAAAAH/t7Hk=")</f>
        <v>#VALUE!</v>
      </c>
      <c r="DS2" s="1" t="e">
        <f>AND('Maxi 1'!N11,"AAAAAH/t7Ho=")</f>
        <v>#VALUE!</v>
      </c>
      <c r="DT2" s="1" t="e">
        <f>AND('Maxi 1'!O11,"AAAAAH/t7Hs=")</f>
        <v>#VALUE!</v>
      </c>
      <c r="DU2" s="1" t="e">
        <f>AND('Maxi 1'!P11,"AAAAAH/t7Hw=")</f>
        <v>#VALUE!</v>
      </c>
      <c r="DV2" s="1" t="e">
        <f>AND('Maxi 1'!Q11,"AAAAAH/t7H0=")</f>
        <v>#VALUE!</v>
      </c>
      <c r="DW2" s="1" t="e">
        <f>AND('Maxi 1'!R11,"AAAAAH/t7H4=")</f>
        <v>#VALUE!</v>
      </c>
      <c r="DX2" s="1" t="e">
        <f>AND('Maxi 1'!S11,"AAAAAH/t7H8=")</f>
        <v>#VALUE!</v>
      </c>
      <c r="DY2" s="1" t="e">
        <f>AND('Maxi 1'!T11,"AAAAAH/t7IA=")</f>
        <v>#VALUE!</v>
      </c>
      <c r="DZ2" s="1" t="e">
        <f>AND('Maxi 1'!U11,"AAAAAH/t7IE=")</f>
        <v>#VALUE!</v>
      </c>
      <c r="EA2" s="1" t="e">
        <f>AND('Maxi 1'!V11,"AAAAAH/t7II=")</f>
        <v>#VALUE!</v>
      </c>
      <c r="EB2" s="1" t="e">
        <f>AND('Maxi 1'!W11,"AAAAAH/t7IM=")</f>
        <v>#VALUE!</v>
      </c>
      <c r="EC2" s="1" t="e">
        <f>AND('Maxi 1'!X11,"AAAAAH/t7IQ=")</f>
        <v>#VALUE!</v>
      </c>
      <c r="ED2" s="1" t="e">
        <f>AND('Maxi 1'!Y11,"AAAAAH/t7IU=")</f>
        <v>#VALUE!</v>
      </c>
      <c r="EE2" s="1" t="e">
        <f>AND('Maxi 1'!Z11,"AAAAAH/t7IY=")</f>
        <v>#VALUE!</v>
      </c>
      <c r="EF2" s="1" t="e">
        <f>AND('Maxi 1'!AA11,"AAAAAH/t7Ic=")</f>
        <v>#VALUE!</v>
      </c>
      <c r="EG2" s="1" t="e">
        <f>IF('Maxi 1'!#REF!,"AAAAAH/t7Ig=",0)</f>
        <v>#REF!</v>
      </c>
      <c r="EH2" s="1" t="e">
        <f>AND('Maxi 1'!#REF!,"AAAAAH/t7Ik=")</f>
        <v>#REF!</v>
      </c>
      <c r="EI2" s="1" t="e">
        <f>AND('Maxi 1'!#REF!,"AAAAAH/t7Io=")</f>
        <v>#REF!</v>
      </c>
      <c r="EJ2" s="1" t="e">
        <f>AND('Maxi 1'!#REF!,"AAAAAH/t7Is=")</f>
        <v>#REF!</v>
      </c>
      <c r="EK2" s="1" t="e">
        <f>AND('Maxi 1'!#REF!,"AAAAAH/t7Iw=")</f>
        <v>#REF!</v>
      </c>
      <c r="EL2" s="1" t="e">
        <f>AND('Maxi 1'!#REF!,"AAAAAH/t7I0=")</f>
        <v>#REF!</v>
      </c>
      <c r="EM2" s="1" t="e">
        <f>AND('Maxi 1'!#REF!,"AAAAAH/t7I4=")</f>
        <v>#REF!</v>
      </c>
      <c r="EN2" s="1" t="e">
        <f>AND('Maxi 1'!#REF!,"AAAAAH/t7I8=")</f>
        <v>#REF!</v>
      </c>
      <c r="EO2" s="1" t="e">
        <f>AND('Maxi 1'!#REF!,"AAAAAH/t7JA=")</f>
        <v>#REF!</v>
      </c>
      <c r="EP2" s="1" t="e">
        <f>AND('Maxi 1'!#REF!,"AAAAAH/t7JE=")</f>
        <v>#REF!</v>
      </c>
      <c r="EQ2" s="1" t="e">
        <f>AND('Maxi 1'!#REF!,"AAAAAH/t7JI=")</f>
        <v>#REF!</v>
      </c>
      <c r="ER2" s="1" t="e">
        <f>AND('Maxi 1'!#REF!,"AAAAAH/t7JM=")</f>
        <v>#REF!</v>
      </c>
      <c r="ES2" s="1" t="e">
        <f>AND('Maxi 1'!#REF!,"AAAAAH/t7JQ=")</f>
        <v>#REF!</v>
      </c>
      <c r="ET2" s="1" t="e">
        <f>AND('Maxi 1'!#REF!,"AAAAAH/t7JU=")</f>
        <v>#REF!</v>
      </c>
      <c r="EU2" s="1" t="e">
        <f>AND('Maxi 1'!#REF!,"AAAAAH/t7JY=")</f>
        <v>#REF!</v>
      </c>
      <c r="EV2" s="1" t="e">
        <f>AND('Maxi 1'!#REF!,"AAAAAH/t7Jc=")</f>
        <v>#REF!</v>
      </c>
      <c r="EW2" s="1" t="e">
        <f>AND('Maxi 1'!#REF!,"AAAAAH/t7Jg=")</f>
        <v>#REF!</v>
      </c>
      <c r="EX2" s="1" t="e">
        <f>AND('Maxi 1'!#REF!,"AAAAAH/t7Jk=")</f>
        <v>#REF!</v>
      </c>
      <c r="EY2" s="1" t="e">
        <f>AND('Maxi 1'!#REF!,"AAAAAH/t7Jo=")</f>
        <v>#REF!</v>
      </c>
      <c r="EZ2" s="1" t="e">
        <f>AND('Maxi 1'!#REF!,"AAAAAH/t7Js=")</f>
        <v>#REF!</v>
      </c>
      <c r="FA2" s="1" t="e">
        <f>AND('Maxi 1'!#REF!,"AAAAAH/t7Jw=")</f>
        <v>#REF!</v>
      </c>
      <c r="FB2" s="1" t="e">
        <f>AND('Maxi 1'!#REF!,"AAAAAH/t7J0=")</f>
        <v>#REF!</v>
      </c>
      <c r="FC2" s="1" t="e">
        <f>AND('Maxi 1'!#REF!,"AAAAAH/t7J4=")</f>
        <v>#REF!</v>
      </c>
      <c r="FD2" s="1" t="e">
        <f>AND('Maxi 1'!#REF!,"AAAAAH/t7J8=")</f>
        <v>#REF!</v>
      </c>
      <c r="FE2" s="1" t="e">
        <f>AND('Maxi 1'!#REF!,"AAAAAH/t7KA=")</f>
        <v>#REF!</v>
      </c>
      <c r="FF2" s="1" t="e">
        <f>AND('Maxi 1'!#REF!,"AAAAAH/t7KE=")</f>
        <v>#REF!</v>
      </c>
      <c r="FG2" s="1" t="e">
        <f>AND('Maxi 1'!#REF!,"AAAAAH/t7KI=")</f>
        <v>#REF!</v>
      </c>
      <c r="FH2" s="1" t="e">
        <f>AND('Maxi 1'!#REF!,"AAAAAH/t7KM=")</f>
        <v>#REF!</v>
      </c>
      <c r="FI2" s="1" t="e">
        <f>IF('Maxi 1'!#REF!,"AAAAAH/t7KQ=",0)</f>
        <v>#REF!</v>
      </c>
      <c r="FJ2" s="1" t="e">
        <f>AND('Maxi 1'!#REF!,"AAAAAH/t7KU=")</f>
        <v>#REF!</v>
      </c>
      <c r="FK2" s="1" t="e">
        <f>AND('Maxi 1'!#REF!,"AAAAAH/t7KY=")</f>
        <v>#REF!</v>
      </c>
      <c r="FL2" s="1" t="e">
        <f>AND('Maxi 1'!#REF!,"AAAAAH/t7Kc=")</f>
        <v>#REF!</v>
      </c>
      <c r="FM2" s="1" t="e">
        <f>AND('Maxi 1'!#REF!,"AAAAAH/t7Kg=")</f>
        <v>#REF!</v>
      </c>
      <c r="FN2" s="1" t="e">
        <f>AND('Maxi 1'!#REF!,"AAAAAH/t7Kk=")</f>
        <v>#REF!</v>
      </c>
      <c r="FO2" s="1" t="e">
        <f>AND('Maxi 1'!#REF!,"AAAAAH/t7Ko=")</f>
        <v>#REF!</v>
      </c>
      <c r="FP2" s="1" t="e">
        <f>AND('Maxi 1'!#REF!,"AAAAAH/t7Ks=")</f>
        <v>#REF!</v>
      </c>
      <c r="FQ2" s="1" t="e">
        <f>AND('Maxi 1'!#REF!,"AAAAAH/t7Kw=")</f>
        <v>#REF!</v>
      </c>
      <c r="FR2" s="1" t="e">
        <f>AND('Maxi 1'!#REF!,"AAAAAH/t7K0=")</f>
        <v>#REF!</v>
      </c>
      <c r="FS2" s="1" t="e">
        <f>AND('Maxi 1'!#REF!,"AAAAAH/t7K4=")</f>
        <v>#REF!</v>
      </c>
      <c r="FT2" s="1" t="e">
        <f>AND('Maxi 1'!#REF!,"AAAAAH/t7K8=")</f>
        <v>#REF!</v>
      </c>
      <c r="FU2" s="1" t="e">
        <f>AND('Maxi 1'!#REF!,"AAAAAH/t7LA=")</f>
        <v>#REF!</v>
      </c>
      <c r="FV2" s="1" t="e">
        <f>AND('Maxi 1'!#REF!,"AAAAAH/t7LE=")</f>
        <v>#REF!</v>
      </c>
      <c r="FW2" s="1" t="e">
        <f>AND('Maxi 1'!#REF!,"AAAAAH/t7LI=")</f>
        <v>#REF!</v>
      </c>
      <c r="FX2" s="1" t="e">
        <f>AND('Maxi 1'!#REF!,"AAAAAH/t7LM=")</f>
        <v>#REF!</v>
      </c>
      <c r="FY2" s="1" t="e">
        <f>AND('Maxi 1'!#REF!,"AAAAAH/t7LQ=")</f>
        <v>#REF!</v>
      </c>
      <c r="FZ2" s="1" t="e">
        <f>AND('Maxi 1'!#REF!,"AAAAAH/t7LU=")</f>
        <v>#REF!</v>
      </c>
      <c r="GA2" s="1" t="e">
        <f>AND('Maxi 1'!#REF!,"AAAAAH/t7LY=")</f>
        <v>#REF!</v>
      </c>
      <c r="GB2" s="1" t="e">
        <f>AND('Maxi 1'!#REF!,"AAAAAH/t7Lc=")</f>
        <v>#REF!</v>
      </c>
      <c r="GC2" s="1" t="e">
        <f>AND('Maxi 1'!#REF!,"AAAAAH/t7Lg=")</f>
        <v>#REF!</v>
      </c>
      <c r="GD2" s="1" t="e">
        <f>AND('Maxi 1'!#REF!,"AAAAAH/t7Lk=")</f>
        <v>#REF!</v>
      </c>
      <c r="GE2" s="1" t="e">
        <f>AND('Maxi 1'!#REF!,"AAAAAH/t7Lo=")</f>
        <v>#REF!</v>
      </c>
      <c r="GF2" s="1" t="e">
        <f>AND('Maxi 1'!#REF!,"AAAAAH/t7Ls=")</f>
        <v>#REF!</v>
      </c>
      <c r="GG2" s="1" t="e">
        <f>AND('Maxi 1'!#REF!,"AAAAAH/t7Lw=")</f>
        <v>#REF!</v>
      </c>
      <c r="GH2" s="1" t="e">
        <f>AND('Maxi 1'!#REF!,"AAAAAH/t7L0=")</f>
        <v>#REF!</v>
      </c>
      <c r="GI2" s="1" t="e">
        <f>AND('Maxi 1'!#REF!,"AAAAAH/t7L4=")</f>
        <v>#REF!</v>
      </c>
      <c r="GJ2" s="1" t="e">
        <f>AND('Maxi 1'!#REF!,"AAAAAH/t7L8=")</f>
        <v>#REF!</v>
      </c>
      <c r="GK2" s="1" t="e">
        <f>IF('Maxi 1'!#REF!,"AAAAAH/t7MA=",0)</f>
        <v>#REF!</v>
      </c>
      <c r="GL2" s="1" t="e">
        <f>AND('Maxi 1'!#REF!,"AAAAAH/t7ME=")</f>
        <v>#REF!</v>
      </c>
      <c r="GM2" s="1" t="e">
        <f>AND('Maxi 1'!#REF!,"AAAAAH/t7MI=")</f>
        <v>#REF!</v>
      </c>
      <c r="GN2" s="1" t="e">
        <f>AND('Maxi 1'!#REF!,"AAAAAH/t7MM=")</f>
        <v>#REF!</v>
      </c>
      <c r="GO2" s="1" t="e">
        <f>AND('Maxi 1'!#REF!,"AAAAAH/t7MQ=")</f>
        <v>#REF!</v>
      </c>
      <c r="GP2" s="1" t="e">
        <f>AND('Maxi 1'!#REF!,"AAAAAH/t7MU=")</f>
        <v>#REF!</v>
      </c>
      <c r="GQ2" s="1" t="e">
        <f>AND('Maxi 1'!#REF!,"AAAAAH/t7MY=")</f>
        <v>#REF!</v>
      </c>
      <c r="GR2" s="1" t="e">
        <f>AND('Maxi 1'!#REF!,"AAAAAH/t7Mc=")</f>
        <v>#REF!</v>
      </c>
      <c r="GS2" s="1" t="e">
        <f>AND('Maxi 1'!#REF!,"AAAAAH/t7Mg=")</f>
        <v>#REF!</v>
      </c>
      <c r="GT2" s="1" t="e">
        <f>AND('Maxi 1'!#REF!,"AAAAAH/t7Mk=")</f>
        <v>#REF!</v>
      </c>
      <c r="GU2" s="1" t="e">
        <f>AND('Maxi 1'!#REF!,"AAAAAH/t7Mo=")</f>
        <v>#REF!</v>
      </c>
      <c r="GV2" s="1" t="e">
        <f>AND('Maxi 1'!#REF!,"AAAAAH/t7Ms=")</f>
        <v>#REF!</v>
      </c>
      <c r="GW2" s="1" t="e">
        <f>AND('Maxi 1'!#REF!,"AAAAAH/t7Mw=")</f>
        <v>#REF!</v>
      </c>
      <c r="GX2" s="1" t="e">
        <f>AND('Maxi 1'!#REF!,"AAAAAH/t7M0=")</f>
        <v>#REF!</v>
      </c>
      <c r="GY2" s="1" t="e">
        <f>AND('Maxi 1'!#REF!,"AAAAAH/t7M4=")</f>
        <v>#REF!</v>
      </c>
      <c r="GZ2" s="1" t="e">
        <f>AND('Maxi 1'!#REF!,"AAAAAH/t7M8=")</f>
        <v>#REF!</v>
      </c>
      <c r="HA2" s="1" t="e">
        <f>AND('Maxi 1'!#REF!,"AAAAAH/t7NA=")</f>
        <v>#REF!</v>
      </c>
      <c r="HB2" s="1" t="e">
        <f>AND('Maxi 1'!#REF!,"AAAAAH/t7NE=")</f>
        <v>#REF!</v>
      </c>
      <c r="HC2" s="1" t="e">
        <f>AND('Maxi 1'!#REF!,"AAAAAH/t7NI=")</f>
        <v>#REF!</v>
      </c>
      <c r="HD2" s="1" t="e">
        <f>AND('Maxi 1'!#REF!,"AAAAAH/t7NM=")</f>
        <v>#REF!</v>
      </c>
      <c r="HE2" s="1" t="e">
        <f>AND('Maxi 1'!#REF!,"AAAAAH/t7NQ=")</f>
        <v>#REF!</v>
      </c>
      <c r="HF2" s="1" t="e">
        <f>AND('Maxi 1'!#REF!,"AAAAAH/t7NU=")</f>
        <v>#REF!</v>
      </c>
      <c r="HG2" s="1" t="e">
        <f>AND('Maxi 1'!#REF!,"AAAAAH/t7NY=")</f>
        <v>#REF!</v>
      </c>
      <c r="HH2" s="1" t="e">
        <f>AND('Maxi 1'!#REF!,"AAAAAH/t7Nc=")</f>
        <v>#REF!</v>
      </c>
      <c r="HI2" s="1" t="e">
        <f>AND('Maxi 1'!#REF!,"AAAAAH/t7Ng=")</f>
        <v>#REF!</v>
      </c>
      <c r="HJ2" s="1" t="e">
        <f>AND('Maxi 1'!#REF!,"AAAAAH/t7Nk=")</f>
        <v>#REF!</v>
      </c>
      <c r="HK2" s="1" t="e">
        <f>AND('Maxi 1'!#REF!,"AAAAAH/t7No=")</f>
        <v>#REF!</v>
      </c>
      <c r="HL2" s="1" t="e">
        <f>AND('Maxi 1'!#REF!,"AAAAAH/t7Ns=")</f>
        <v>#REF!</v>
      </c>
      <c r="HM2" s="1" t="e">
        <f>IF('Maxi 1'!#REF!,"AAAAAH/t7Nw=",0)</f>
        <v>#REF!</v>
      </c>
      <c r="HN2" s="1" t="e">
        <f>AND('Maxi 1'!#REF!,"AAAAAH/t7N0=")</f>
        <v>#REF!</v>
      </c>
      <c r="HO2" s="1" t="e">
        <f>AND('Maxi 1'!#REF!,"AAAAAH/t7N4=")</f>
        <v>#REF!</v>
      </c>
      <c r="HP2" s="1" t="e">
        <f>AND('Maxi 1'!#REF!,"AAAAAH/t7N8=")</f>
        <v>#REF!</v>
      </c>
      <c r="HQ2" s="1" t="e">
        <f>AND('Maxi 1'!#REF!,"AAAAAH/t7OA=")</f>
        <v>#REF!</v>
      </c>
      <c r="HR2" s="1" t="e">
        <f>AND('Maxi 1'!#REF!,"AAAAAH/t7OE=")</f>
        <v>#REF!</v>
      </c>
      <c r="HS2" s="1" t="e">
        <f>AND('Maxi 1'!#REF!,"AAAAAH/t7OI=")</f>
        <v>#REF!</v>
      </c>
      <c r="HT2" s="1" t="e">
        <f>AND('Maxi 1'!#REF!,"AAAAAH/t7OM=")</f>
        <v>#REF!</v>
      </c>
      <c r="HU2" s="1" t="e">
        <f>AND('Maxi 1'!#REF!,"AAAAAH/t7OQ=")</f>
        <v>#REF!</v>
      </c>
      <c r="HV2" s="1" t="e">
        <f>AND('Maxi 1'!#REF!,"AAAAAH/t7OU=")</f>
        <v>#REF!</v>
      </c>
      <c r="HW2" s="1" t="e">
        <f>AND('Maxi 1'!#REF!,"AAAAAH/t7OY=")</f>
        <v>#REF!</v>
      </c>
      <c r="HX2" s="1" t="e">
        <f>AND('Maxi 1'!#REF!,"AAAAAH/t7Oc=")</f>
        <v>#REF!</v>
      </c>
      <c r="HY2" s="1" t="e">
        <f>AND('Maxi 1'!#REF!,"AAAAAH/t7Og=")</f>
        <v>#REF!</v>
      </c>
      <c r="HZ2" s="1" t="e">
        <f>AND('Maxi 1'!#REF!,"AAAAAH/t7Ok=")</f>
        <v>#REF!</v>
      </c>
      <c r="IA2" s="1" t="e">
        <f>AND('Maxi 1'!#REF!,"AAAAAH/t7Oo=")</f>
        <v>#REF!</v>
      </c>
      <c r="IB2" s="1" t="e">
        <f>AND('Maxi 1'!#REF!,"AAAAAH/t7Os=")</f>
        <v>#REF!</v>
      </c>
      <c r="IC2" s="1" t="e">
        <f>AND('Maxi 1'!#REF!,"AAAAAH/t7Ow=")</f>
        <v>#REF!</v>
      </c>
      <c r="ID2" s="1" t="e">
        <f>AND('Maxi 1'!#REF!,"AAAAAH/t7O0=")</f>
        <v>#REF!</v>
      </c>
      <c r="IE2" s="1" t="e">
        <f>AND('Maxi 1'!#REF!,"AAAAAH/t7O4=")</f>
        <v>#REF!</v>
      </c>
      <c r="IF2" s="1" t="e">
        <f>AND('Maxi 1'!#REF!,"AAAAAH/t7O8=")</f>
        <v>#REF!</v>
      </c>
      <c r="IG2" s="1" t="e">
        <f>AND('Maxi 1'!#REF!,"AAAAAH/t7PA=")</f>
        <v>#REF!</v>
      </c>
      <c r="IH2" s="1" t="e">
        <f>AND('Maxi 1'!#REF!,"AAAAAH/t7PE=")</f>
        <v>#REF!</v>
      </c>
      <c r="II2" s="1" t="e">
        <f>AND('Maxi 1'!#REF!,"AAAAAH/t7PI=")</f>
        <v>#REF!</v>
      </c>
      <c r="IJ2" s="1" t="e">
        <f>AND('Maxi 1'!#REF!,"AAAAAH/t7PM=")</f>
        <v>#REF!</v>
      </c>
      <c r="IK2" s="1" t="e">
        <f>AND('Maxi 1'!#REF!,"AAAAAH/t7PQ=")</f>
        <v>#REF!</v>
      </c>
      <c r="IL2" s="1" t="e">
        <f>AND('Maxi 1'!#REF!,"AAAAAH/t7PU=")</f>
        <v>#REF!</v>
      </c>
      <c r="IM2" s="1" t="e">
        <f>AND('Maxi 1'!#REF!,"AAAAAH/t7PY=")</f>
        <v>#REF!</v>
      </c>
      <c r="IN2" s="1" t="e">
        <f>AND('Maxi 1'!#REF!,"AAAAAH/t7Pc=")</f>
        <v>#REF!</v>
      </c>
      <c r="IO2" s="1" t="e">
        <f>IF('Maxi 1'!#REF!,"AAAAAH/t7Pg=",0)</f>
        <v>#REF!</v>
      </c>
      <c r="IP2" s="1" t="e">
        <f>AND('Maxi 1'!#REF!,"AAAAAH/t7Pk=")</f>
        <v>#REF!</v>
      </c>
      <c r="IQ2" s="1" t="e">
        <f>AND('Maxi 1'!#REF!,"AAAAAH/t7Po=")</f>
        <v>#REF!</v>
      </c>
      <c r="IR2" s="1" t="e">
        <f>AND('Maxi 1'!#REF!,"AAAAAH/t7Ps=")</f>
        <v>#REF!</v>
      </c>
      <c r="IS2" s="1" t="e">
        <f>AND('Maxi 1'!#REF!,"AAAAAH/t7Pw=")</f>
        <v>#REF!</v>
      </c>
      <c r="IT2" s="1" t="e">
        <f>AND('Maxi 1'!#REF!,"AAAAAH/t7P0=")</f>
        <v>#REF!</v>
      </c>
      <c r="IU2" s="1" t="e">
        <f>AND('Maxi 1'!#REF!,"AAAAAH/t7P4=")</f>
        <v>#REF!</v>
      </c>
      <c r="IV2" s="1" t="e">
        <f>AND('Maxi 1'!#REF!,"AAAAAH/t7P8=")</f>
        <v>#REF!</v>
      </c>
    </row>
    <row r="3" spans="1:256" ht="15" customHeight="1" x14ac:dyDescent="0.2">
      <c r="A3" s="1" t="e">
        <f>AND('Maxi 1'!#REF!,"AAAAAHdf2gA=")</f>
        <v>#REF!</v>
      </c>
      <c r="B3" s="1" t="e">
        <f>AND('Maxi 1'!#REF!,"AAAAAHdf2gE=")</f>
        <v>#REF!</v>
      </c>
      <c r="C3" s="1" t="e">
        <f>AND('Maxi 1'!#REF!,"AAAAAHdf2gI=")</f>
        <v>#REF!</v>
      </c>
      <c r="D3" s="1" t="e">
        <f>AND('Maxi 1'!#REF!,"AAAAAHdf2gM=")</f>
        <v>#REF!</v>
      </c>
      <c r="E3" s="1" t="e">
        <f>AND('Maxi 1'!#REF!,"AAAAAHdf2gQ=")</f>
        <v>#REF!</v>
      </c>
      <c r="F3" s="1" t="e">
        <f>AND('Maxi 1'!#REF!,"AAAAAHdf2gU=")</f>
        <v>#REF!</v>
      </c>
      <c r="G3" s="1" t="e">
        <f>AND('Maxi 1'!#REF!,"AAAAAHdf2gY=")</f>
        <v>#REF!</v>
      </c>
      <c r="H3" s="1" t="e">
        <f>AND('Maxi 1'!#REF!,"AAAAAHdf2gc=")</f>
        <v>#REF!</v>
      </c>
      <c r="I3" s="1" t="e">
        <f>AND('Maxi 1'!#REF!,"AAAAAHdf2gg=")</f>
        <v>#REF!</v>
      </c>
      <c r="J3" s="1" t="e">
        <f>AND('Maxi 1'!#REF!,"AAAAAHdf2gk=")</f>
        <v>#REF!</v>
      </c>
      <c r="K3" s="1" t="e">
        <f>AND('Maxi 1'!#REF!,"AAAAAHdf2go=")</f>
        <v>#REF!</v>
      </c>
      <c r="L3" s="1" t="e">
        <f>AND('Maxi 1'!#REF!,"AAAAAHdf2gs=")</f>
        <v>#REF!</v>
      </c>
      <c r="M3" s="1" t="e">
        <f>AND('Maxi 1'!#REF!,"AAAAAHdf2gw=")</f>
        <v>#REF!</v>
      </c>
      <c r="N3" s="1" t="e">
        <f>AND('Maxi 1'!#REF!,"AAAAAHdf2g0=")</f>
        <v>#REF!</v>
      </c>
      <c r="O3" s="1" t="e">
        <f>AND('Maxi 1'!#REF!,"AAAAAHdf2g4=")</f>
        <v>#REF!</v>
      </c>
      <c r="P3" s="1" t="e">
        <f>AND('Maxi 1'!#REF!,"AAAAAHdf2g8=")</f>
        <v>#REF!</v>
      </c>
      <c r="Q3" s="1" t="e">
        <f>AND('Maxi 1'!#REF!,"AAAAAHdf2hA=")</f>
        <v>#REF!</v>
      </c>
      <c r="R3" s="1" t="e">
        <f>AND('Maxi 1'!#REF!,"AAAAAHdf2hE=")</f>
        <v>#REF!</v>
      </c>
      <c r="S3" s="1" t="e">
        <f>AND('Maxi 1'!#REF!,"AAAAAHdf2hI=")</f>
        <v>#REF!</v>
      </c>
      <c r="T3" s="1" t="e">
        <f>AND('Maxi 1'!#REF!,"AAAAAHdf2hM=")</f>
        <v>#REF!</v>
      </c>
      <c r="U3" s="1" t="e">
        <f>IF('Maxi 1'!#REF!,"AAAAAHdf2hQ=",0)</f>
        <v>#REF!</v>
      </c>
      <c r="V3" s="1" t="e">
        <f>AND('Maxi 1'!#REF!,"AAAAAHdf2hU=")</f>
        <v>#REF!</v>
      </c>
      <c r="W3" s="1" t="e">
        <f>AND('Maxi 1'!#REF!,"AAAAAHdf2hY=")</f>
        <v>#REF!</v>
      </c>
      <c r="X3" s="1" t="e">
        <f>AND('Maxi 1'!#REF!,"AAAAAHdf2hc=")</f>
        <v>#REF!</v>
      </c>
      <c r="Y3" s="1" t="e">
        <f>AND('Maxi 1'!#REF!,"AAAAAHdf2hg=")</f>
        <v>#REF!</v>
      </c>
      <c r="Z3" s="1" t="e">
        <f>AND('Maxi 1'!#REF!,"AAAAAHdf2hk=")</f>
        <v>#REF!</v>
      </c>
      <c r="AA3" s="1" t="e">
        <f>AND('Maxi 1'!#REF!,"AAAAAHdf2ho=")</f>
        <v>#REF!</v>
      </c>
      <c r="AB3" s="1" t="e">
        <f>AND('Maxi 1'!#REF!,"AAAAAHdf2hs=")</f>
        <v>#REF!</v>
      </c>
      <c r="AC3" s="1" t="e">
        <f>AND('Maxi 1'!#REF!,"AAAAAHdf2hw=")</f>
        <v>#REF!</v>
      </c>
      <c r="AD3" s="1" t="e">
        <f>AND('Maxi 1'!#REF!,"AAAAAHdf2h0=")</f>
        <v>#REF!</v>
      </c>
      <c r="AE3" s="1" t="e">
        <f>AND('Maxi 1'!#REF!,"AAAAAHdf2h4=")</f>
        <v>#REF!</v>
      </c>
      <c r="AF3" s="1" t="e">
        <f>AND('Maxi 1'!#REF!,"AAAAAHdf2h8=")</f>
        <v>#REF!</v>
      </c>
      <c r="AG3" s="1" t="e">
        <f>AND('Maxi 1'!#REF!,"AAAAAHdf2iA=")</f>
        <v>#REF!</v>
      </c>
      <c r="AH3" s="1" t="e">
        <f>AND('Maxi 1'!#REF!,"AAAAAHdf2iE=")</f>
        <v>#REF!</v>
      </c>
      <c r="AI3" s="1" t="e">
        <f>AND('Maxi 1'!#REF!,"AAAAAHdf2iI=")</f>
        <v>#REF!</v>
      </c>
      <c r="AJ3" s="1" t="e">
        <f>AND('Maxi 1'!#REF!,"AAAAAHdf2iM=")</f>
        <v>#REF!</v>
      </c>
      <c r="AK3" s="1" t="e">
        <f>AND('Maxi 1'!#REF!,"AAAAAHdf2iQ=")</f>
        <v>#REF!</v>
      </c>
      <c r="AL3" s="1" t="e">
        <f>AND('Maxi 1'!#REF!,"AAAAAHdf2iU=")</f>
        <v>#REF!</v>
      </c>
      <c r="AM3" s="1" t="e">
        <f>AND('Maxi 1'!#REF!,"AAAAAHdf2iY=")</f>
        <v>#REF!</v>
      </c>
      <c r="AN3" s="1" t="e">
        <f>AND('Maxi 1'!#REF!,"AAAAAHdf2ic=")</f>
        <v>#REF!</v>
      </c>
      <c r="AO3" s="1" t="e">
        <f>AND('Maxi 1'!#REF!,"AAAAAHdf2ig=")</f>
        <v>#REF!</v>
      </c>
      <c r="AP3" s="1" t="e">
        <f>AND('Maxi 1'!#REF!,"AAAAAHdf2ik=")</f>
        <v>#REF!</v>
      </c>
      <c r="AQ3" s="1" t="e">
        <f>AND('Maxi 1'!#REF!,"AAAAAHdf2io=")</f>
        <v>#REF!</v>
      </c>
      <c r="AR3" s="1" t="e">
        <f>AND('Maxi 1'!#REF!,"AAAAAHdf2is=")</f>
        <v>#REF!</v>
      </c>
      <c r="AS3" s="1" t="e">
        <f>AND('Maxi 1'!#REF!,"AAAAAHdf2iw=")</f>
        <v>#REF!</v>
      </c>
      <c r="AT3" s="1" t="e">
        <f>AND('Maxi 1'!#REF!,"AAAAAHdf2i0=")</f>
        <v>#REF!</v>
      </c>
      <c r="AU3" s="1" t="e">
        <f>AND('Maxi 1'!#REF!,"AAAAAHdf2i4=")</f>
        <v>#REF!</v>
      </c>
      <c r="AV3" s="1" t="e">
        <f>AND('Maxi 1'!#REF!,"AAAAAHdf2i8=")</f>
        <v>#REF!</v>
      </c>
      <c r="AW3" s="1">
        <f>IF('Maxi 1'!12:12,"AAAAAHdf2jA=",0)</f>
        <v>0</v>
      </c>
      <c r="AX3" s="1" t="e">
        <f>AND('Maxi 1'!A12,"AAAAAHdf2jE=")</f>
        <v>#VALUE!</v>
      </c>
      <c r="AY3" s="1" t="e">
        <f>AND('Maxi 1'!B12,"AAAAAHdf2jI=")</f>
        <v>#VALUE!</v>
      </c>
      <c r="AZ3" s="1" t="e">
        <f>AND('Maxi 1'!C12,"AAAAAHdf2jM=")</f>
        <v>#VALUE!</v>
      </c>
      <c r="BA3" s="1" t="e">
        <f>AND('Maxi 1'!D12,"AAAAAHdf2jQ=")</f>
        <v>#VALUE!</v>
      </c>
      <c r="BB3" s="1" t="e">
        <f>AND('Maxi 1'!E12,"AAAAAHdf2jU=")</f>
        <v>#VALUE!</v>
      </c>
      <c r="BC3" s="1" t="e">
        <f>AND('Maxi 1'!F12,"AAAAAHdf2jY=")</f>
        <v>#VALUE!</v>
      </c>
      <c r="BD3" s="1" t="e">
        <f>AND('Maxi 1'!G12,"AAAAAHdf2jc=")</f>
        <v>#VALUE!</v>
      </c>
      <c r="BE3" s="1" t="e">
        <f>AND('Maxi 1'!H12,"AAAAAHdf2jg=")</f>
        <v>#VALUE!</v>
      </c>
      <c r="BF3" s="1" t="e">
        <f>AND('Maxi 1'!I12,"AAAAAHdf2jk=")</f>
        <v>#VALUE!</v>
      </c>
      <c r="BG3" s="1" t="e">
        <f>AND('Maxi 1'!J12,"AAAAAHdf2jo=")</f>
        <v>#VALUE!</v>
      </c>
      <c r="BH3" s="1" t="e">
        <f>AND('Maxi 1'!K12,"AAAAAHdf2js=")</f>
        <v>#VALUE!</v>
      </c>
      <c r="BI3" s="1" t="e">
        <f>AND('Maxi 1'!L12,"AAAAAHdf2jw=")</f>
        <v>#VALUE!</v>
      </c>
      <c r="BJ3" s="1" t="e">
        <f>AND('Maxi 1'!M12,"AAAAAHdf2j0=")</f>
        <v>#VALUE!</v>
      </c>
      <c r="BK3" s="1" t="e">
        <f>AND('Maxi 1'!N12,"AAAAAHdf2j4=")</f>
        <v>#VALUE!</v>
      </c>
      <c r="BL3" s="1" t="e">
        <f>AND('Maxi 1'!O12,"AAAAAHdf2j8=")</f>
        <v>#VALUE!</v>
      </c>
      <c r="BM3" s="1" t="e">
        <f>AND('Maxi 1'!P12,"AAAAAHdf2kA=")</f>
        <v>#VALUE!</v>
      </c>
      <c r="BN3" s="1" t="e">
        <f>AND('Maxi 1'!Q12,"AAAAAHdf2kE=")</f>
        <v>#VALUE!</v>
      </c>
      <c r="BO3" s="1" t="e">
        <f>AND('Maxi 1'!R12,"AAAAAHdf2kI=")</f>
        <v>#VALUE!</v>
      </c>
      <c r="BP3" s="1" t="e">
        <f>AND('Maxi 1'!S12,"AAAAAHdf2kM=")</f>
        <v>#VALUE!</v>
      </c>
      <c r="BQ3" s="1" t="e">
        <f>AND('Maxi 1'!T12,"AAAAAHdf2kQ=")</f>
        <v>#VALUE!</v>
      </c>
      <c r="BR3" s="1" t="e">
        <f>AND('Maxi 1'!U12,"AAAAAHdf2kU=")</f>
        <v>#VALUE!</v>
      </c>
      <c r="BS3" s="1" t="e">
        <f>AND('Maxi 1'!V12,"AAAAAHdf2kY=")</f>
        <v>#VALUE!</v>
      </c>
      <c r="BT3" s="1" t="e">
        <f>AND('Maxi 1'!W12,"AAAAAHdf2kc=")</f>
        <v>#VALUE!</v>
      </c>
      <c r="BU3" s="1" t="e">
        <f>AND('Maxi 1'!X12,"AAAAAHdf2kg=")</f>
        <v>#VALUE!</v>
      </c>
      <c r="BV3" s="1" t="e">
        <f>AND('Maxi 1'!Y12,"AAAAAHdf2kk=")</f>
        <v>#VALUE!</v>
      </c>
      <c r="BW3" s="1" t="e">
        <f>AND('Maxi 1'!Z12,"AAAAAHdf2ko=")</f>
        <v>#VALUE!</v>
      </c>
      <c r="BX3" s="1" t="e">
        <f>AND('Maxi 1'!AA12,"AAAAAHdf2ks=")</f>
        <v>#VALUE!</v>
      </c>
      <c r="BY3" s="1">
        <f>IF('Maxi 1'!13:13,"AAAAAHdf2kw=",0)</f>
        <v>0</v>
      </c>
      <c r="BZ3" s="1" t="e">
        <f>AND('Maxi 1'!A13,"AAAAAHdf2k0=")</f>
        <v>#VALUE!</v>
      </c>
      <c r="CA3" s="1" t="e">
        <f>AND('Maxi 1'!B13,"AAAAAHdf2k4=")</f>
        <v>#VALUE!</v>
      </c>
      <c r="CB3" s="1" t="e">
        <f>AND('Maxi 1'!C13,"AAAAAHdf2k8=")</f>
        <v>#VALUE!</v>
      </c>
      <c r="CC3" s="1" t="e">
        <f>AND('Maxi 1'!D13,"AAAAAHdf2lA=")</f>
        <v>#VALUE!</v>
      </c>
      <c r="CD3" s="1" t="e">
        <f>AND('Maxi 1'!E13,"AAAAAHdf2lE=")</f>
        <v>#VALUE!</v>
      </c>
      <c r="CE3" s="1" t="e">
        <f>AND('Maxi 1'!F13,"AAAAAHdf2lI=")</f>
        <v>#VALUE!</v>
      </c>
      <c r="CF3" s="1" t="e">
        <f>AND('Maxi 1'!G13,"AAAAAHdf2lM=")</f>
        <v>#VALUE!</v>
      </c>
      <c r="CG3" s="1" t="e">
        <f>AND('Maxi 1'!H13,"AAAAAHdf2lQ=")</f>
        <v>#VALUE!</v>
      </c>
      <c r="CH3" s="1" t="e">
        <f>AND('Maxi 1'!I13,"AAAAAHdf2lU=")</f>
        <v>#VALUE!</v>
      </c>
      <c r="CI3" s="1" t="e">
        <f>AND('Maxi 1'!J13,"AAAAAHdf2lY=")</f>
        <v>#VALUE!</v>
      </c>
      <c r="CJ3" s="1" t="e">
        <f>AND('Maxi 1'!K13,"AAAAAHdf2lc=")</f>
        <v>#VALUE!</v>
      </c>
      <c r="CK3" s="1" t="e">
        <f>AND('Maxi 1'!L13,"AAAAAHdf2lg=")</f>
        <v>#VALUE!</v>
      </c>
      <c r="CL3" s="1" t="e">
        <f>AND('Maxi 1'!M13,"AAAAAHdf2lk=")</f>
        <v>#VALUE!</v>
      </c>
      <c r="CM3" s="1" t="e">
        <f>AND('Maxi 1'!N13,"AAAAAHdf2lo=")</f>
        <v>#VALUE!</v>
      </c>
      <c r="CN3" s="1" t="e">
        <f>AND('Maxi 1'!O13,"AAAAAHdf2ls=")</f>
        <v>#VALUE!</v>
      </c>
      <c r="CO3" s="1" t="e">
        <f>AND('Maxi 1'!P13,"AAAAAHdf2lw=")</f>
        <v>#VALUE!</v>
      </c>
      <c r="CP3" s="1" t="e">
        <f>AND('Maxi 1'!Q13,"AAAAAHdf2l0=")</f>
        <v>#VALUE!</v>
      </c>
      <c r="CQ3" s="1" t="e">
        <f>AND('Maxi 1'!R13,"AAAAAHdf2l4=")</f>
        <v>#VALUE!</v>
      </c>
      <c r="CR3" s="1" t="e">
        <f>AND('Maxi 1'!S13,"AAAAAHdf2l8=")</f>
        <v>#VALUE!</v>
      </c>
      <c r="CS3" s="1" t="e">
        <f>AND('Maxi 1'!T13,"AAAAAHdf2mA=")</f>
        <v>#VALUE!</v>
      </c>
      <c r="CT3" s="1" t="e">
        <f>AND('Maxi 1'!U13,"AAAAAHdf2mE=")</f>
        <v>#VALUE!</v>
      </c>
      <c r="CU3" s="1" t="e">
        <f>AND('Maxi 1'!V13,"AAAAAHdf2mI=")</f>
        <v>#VALUE!</v>
      </c>
      <c r="CV3" s="1" t="e">
        <f>AND('Maxi 1'!W13,"AAAAAHdf2mM=")</f>
        <v>#VALUE!</v>
      </c>
      <c r="CW3" s="1" t="e">
        <f>AND('Maxi 1'!X13,"AAAAAHdf2mQ=")</f>
        <v>#VALUE!</v>
      </c>
      <c r="CX3" s="1" t="e">
        <f>AND('Maxi 1'!Y13,"AAAAAHdf2mU=")</f>
        <v>#VALUE!</v>
      </c>
      <c r="CY3" s="1" t="e">
        <f>AND('Maxi 1'!Z13,"AAAAAHdf2mY=")</f>
        <v>#VALUE!</v>
      </c>
      <c r="CZ3" s="1" t="e">
        <f>AND('Maxi 1'!AA13,"AAAAAHdf2mc=")</f>
        <v>#VALUE!</v>
      </c>
      <c r="DA3" s="1">
        <f>IF('Maxi 1'!14:14,"AAAAAHdf2mg=",0)</f>
        <v>0</v>
      </c>
      <c r="DB3" s="1" t="e">
        <f>AND('Maxi 1'!A14,"AAAAAHdf2mk=")</f>
        <v>#VALUE!</v>
      </c>
      <c r="DC3" s="1" t="e">
        <f>AND('Maxi 1'!B14,"AAAAAHdf2mo=")</f>
        <v>#VALUE!</v>
      </c>
      <c r="DD3" s="1" t="e">
        <f>AND('Maxi 1'!C14,"AAAAAHdf2ms=")</f>
        <v>#VALUE!</v>
      </c>
      <c r="DE3" s="1" t="e">
        <f>AND('Maxi 1'!D14,"AAAAAHdf2mw=")</f>
        <v>#VALUE!</v>
      </c>
      <c r="DF3" s="1" t="e">
        <f>AND('Maxi 1'!E14,"AAAAAHdf2m0=")</f>
        <v>#VALUE!</v>
      </c>
      <c r="DG3" s="1" t="e">
        <f>AND('Maxi 1'!F14,"AAAAAHdf2m4=")</f>
        <v>#VALUE!</v>
      </c>
      <c r="DH3" s="1" t="e">
        <f>AND('Maxi 1'!G14,"AAAAAHdf2m8=")</f>
        <v>#VALUE!</v>
      </c>
      <c r="DI3" s="1" t="e">
        <f>AND('Maxi 1'!H14,"AAAAAHdf2nA=")</f>
        <v>#VALUE!</v>
      </c>
      <c r="DJ3" s="1" t="e">
        <f>AND('Maxi 1'!I14,"AAAAAHdf2nE=")</f>
        <v>#VALUE!</v>
      </c>
      <c r="DK3" s="1" t="e">
        <f>AND('Maxi 1'!J14,"AAAAAHdf2nI=")</f>
        <v>#VALUE!</v>
      </c>
      <c r="DL3" s="1" t="e">
        <f>AND('Maxi 1'!K14,"AAAAAHdf2nM=")</f>
        <v>#VALUE!</v>
      </c>
      <c r="DM3" s="1" t="e">
        <f>AND('Maxi 1'!L14,"AAAAAHdf2nQ=")</f>
        <v>#VALUE!</v>
      </c>
      <c r="DN3" s="1" t="e">
        <f>AND('Maxi 1'!M14,"AAAAAHdf2nU=")</f>
        <v>#VALUE!</v>
      </c>
      <c r="DO3" s="1" t="e">
        <f>AND('Maxi 1'!N14,"AAAAAHdf2nY=")</f>
        <v>#VALUE!</v>
      </c>
      <c r="DP3" s="1" t="e">
        <f>AND('Maxi 1'!O14,"AAAAAHdf2nc=")</f>
        <v>#VALUE!</v>
      </c>
      <c r="DQ3" s="1" t="e">
        <f>AND('Maxi 1'!P14,"AAAAAHdf2ng=")</f>
        <v>#VALUE!</v>
      </c>
      <c r="DR3" s="1" t="e">
        <f>AND('Maxi 1'!Q14,"AAAAAHdf2nk=")</f>
        <v>#VALUE!</v>
      </c>
      <c r="DS3" s="1" t="e">
        <f>AND('Maxi 1'!R14,"AAAAAHdf2no=")</f>
        <v>#VALUE!</v>
      </c>
      <c r="DT3" s="1" t="e">
        <f>AND('Maxi 1'!S14,"AAAAAHdf2ns=")</f>
        <v>#VALUE!</v>
      </c>
      <c r="DU3" s="1" t="e">
        <f>AND('Maxi 1'!T14,"AAAAAHdf2nw=")</f>
        <v>#VALUE!</v>
      </c>
      <c r="DV3" s="1" t="e">
        <f>AND('Maxi 1'!U14,"AAAAAHdf2n0=")</f>
        <v>#VALUE!</v>
      </c>
      <c r="DW3" s="1" t="e">
        <f>AND('Maxi 1'!V14,"AAAAAHdf2n4=")</f>
        <v>#VALUE!</v>
      </c>
      <c r="DX3" s="1" t="e">
        <f>AND('Maxi 1'!W14,"AAAAAHdf2n8=")</f>
        <v>#VALUE!</v>
      </c>
      <c r="DY3" s="1" t="e">
        <f>AND('Maxi 1'!X14,"AAAAAHdf2oA=")</f>
        <v>#VALUE!</v>
      </c>
      <c r="DZ3" s="1" t="e">
        <f>AND('Maxi 1'!Y14,"AAAAAHdf2oE=")</f>
        <v>#VALUE!</v>
      </c>
      <c r="EA3" s="1" t="e">
        <f>AND('Maxi 1'!Z14,"AAAAAHdf2oI=")</f>
        <v>#VALUE!</v>
      </c>
      <c r="EB3" s="1" t="e">
        <f>AND('Maxi 1'!AA14,"AAAAAHdf2oM=")</f>
        <v>#VALUE!</v>
      </c>
      <c r="EC3" s="1" t="e">
        <f>IF('Maxi 1'!#REF!,"AAAAAHdf2oQ=",0)</f>
        <v>#REF!</v>
      </c>
      <c r="ED3" s="1" t="e">
        <f>AND('Maxi 1'!#REF!,"AAAAAHdf2oU=")</f>
        <v>#REF!</v>
      </c>
      <c r="EE3" s="1" t="e">
        <f>AND('Maxi 1'!#REF!,"AAAAAHdf2oY=")</f>
        <v>#REF!</v>
      </c>
      <c r="EF3" s="1" t="e">
        <f>AND('Maxi 1'!#REF!,"AAAAAHdf2oc=")</f>
        <v>#REF!</v>
      </c>
      <c r="EG3" s="1" t="e">
        <f>AND('Maxi 1'!#REF!,"AAAAAHdf2og=")</f>
        <v>#REF!</v>
      </c>
      <c r="EH3" s="1" t="e">
        <f>AND('Maxi 1'!#REF!,"AAAAAHdf2ok=")</f>
        <v>#REF!</v>
      </c>
      <c r="EI3" s="1" t="e">
        <f>AND('Maxi 1'!#REF!,"AAAAAHdf2oo=")</f>
        <v>#REF!</v>
      </c>
      <c r="EJ3" s="1" t="e">
        <f>AND('Maxi 1'!#REF!,"AAAAAHdf2os=")</f>
        <v>#REF!</v>
      </c>
      <c r="EK3" s="1" t="e">
        <f>AND('Maxi 1'!#REF!,"AAAAAHdf2ow=")</f>
        <v>#REF!</v>
      </c>
      <c r="EL3" s="1" t="e">
        <f>AND('Maxi 1'!#REF!,"AAAAAHdf2o0=")</f>
        <v>#REF!</v>
      </c>
      <c r="EM3" s="1" t="e">
        <f>AND('Maxi 1'!#REF!,"AAAAAHdf2o4=")</f>
        <v>#REF!</v>
      </c>
      <c r="EN3" s="1" t="e">
        <f>AND('Maxi 1'!#REF!,"AAAAAHdf2o8=")</f>
        <v>#REF!</v>
      </c>
      <c r="EO3" s="1" t="e">
        <f>AND('Maxi 1'!#REF!,"AAAAAHdf2pA=")</f>
        <v>#REF!</v>
      </c>
      <c r="EP3" s="1" t="e">
        <f>AND('Maxi 1'!#REF!,"AAAAAHdf2pE=")</f>
        <v>#REF!</v>
      </c>
      <c r="EQ3" s="1" t="e">
        <f>AND('Maxi 1'!#REF!,"AAAAAHdf2pI=")</f>
        <v>#REF!</v>
      </c>
      <c r="ER3" s="1" t="e">
        <f>AND('Maxi 1'!#REF!,"AAAAAHdf2pM=")</f>
        <v>#REF!</v>
      </c>
      <c r="ES3" s="1" t="e">
        <f>AND('Maxi 1'!#REF!,"AAAAAHdf2pQ=")</f>
        <v>#REF!</v>
      </c>
      <c r="ET3" s="1" t="e">
        <f>AND('Maxi 1'!#REF!,"AAAAAHdf2pU=")</f>
        <v>#REF!</v>
      </c>
      <c r="EU3" s="1" t="e">
        <f>AND('Maxi 1'!#REF!,"AAAAAHdf2pY=")</f>
        <v>#REF!</v>
      </c>
      <c r="EV3" s="1" t="e">
        <f>AND('Maxi 1'!#REF!,"AAAAAHdf2pc=")</f>
        <v>#REF!</v>
      </c>
      <c r="EW3" s="1" t="e">
        <f>AND('Maxi 1'!#REF!,"AAAAAHdf2pg=")</f>
        <v>#REF!</v>
      </c>
      <c r="EX3" s="1" t="e">
        <f>AND('Maxi 1'!#REF!,"AAAAAHdf2pk=")</f>
        <v>#REF!</v>
      </c>
      <c r="EY3" s="1" t="e">
        <f>AND('Maxi 1'!#REF!,"AAAAAHdf2po=")</f>
        <v>#REF!</v>
      </c>
      <c r="EZ3" s="1" t="e">
        <f>AND('Maxi 1'!#REF!,"AAAAAHdf2ps=")</f>
        <v>#REF!</v>
      </c>
      <c r="FA3" s="1" t="e">
        <f>AND('Maxi 1'!#REF!,"AAAAAHdf2pw=")</f>
        <v>#REF!</v>
      </c>
      <c r="FB3" s="1" t="e">
        <f>AND('Maxi 1'!#REF!,"AAAAAHdf2p0=")</f>
        <v>#REF!</v>
      </c>
      <c r="FC3" s="1" t="e">
        <f>AND('Maxi 1'!#REF!,"AAAAAHdf2p4=")</f>
        <v>#REF!</v>
      </c>
      <c r="FD3" s="1" t="e">
        <f>AND('Maxi 1'!#REF!,"AAAAAHdf2p8=")</f>
        <v>#REF!</v>
      </c>
      <c r="FE3" s="1">
        <f>IF('Maxi 1'!16:16,"AAAAAHdf2qA=",0)</f>
        <v>0</v>
      </c>
      <c r="FF3" s="1" t="e">
        <f>AND('Maxi 1'!A16,"AAAAAHdf2qE=")</f>
        <v>#VALUE!</v>
      </c>
      <c r="FG3" s="1" t="e">
        <f>AND('Maxi 1'!B16,"AAAAAHdf2qI=")</f>
        <v>#VALUE!</v>
      </c>
      <c r="FH3" s="1" t="e">
        <f>AND('Maxi 1'!C16,"AAAAAHdf2qM=")</f>
        <v>#VALUE!</v>
      </c>
      <c r="FI3" s="1" t="e">
        <f>AND('Maxi 1'!D16,"AAAAAHdf2qQ=")</f>
        <v>#VALUE!</v>
      </c>
      <c r="FJ3" s="1" t="e">
        <f>AND('Maxi 1'!E16,"AAAAAHdf2qU=")</f>
        <v>#VALUE!</v>
      </c>
      <c r="FK3" s="1" t="e">
        <f>AND('Maxi 1'!F16,"AAAAAHdf2qY=")</f>
        <v>#VALUE!</v>
      </c>
      <c r="FL3" s="1" t="e">
        <f>AND('Maxi 1'!G16,"AAAAAHdf2qc=")</f>
        <v>#VALUE!</v>
      </c>
      <c r="FM3" s="1" t="e">
        <f>AND('Maxi 1'!H16,"AAAAAHdf2qg=")</f>
        <v>#VALUE!</v>
      </c>
      <c r="FN3" s="1" t="e">
        <f>AND('Maxi 1'!I16,"AAAAAHdf2qk=")</f>
        <v>#VALUE!</v>
      </c>
      <c r="FO3" s="1" t="e">
        <f>AND('Maxi 1'!J16,"AAAAAHdf2qo=")</f>
        <v>#VALUE!</v>
      </c>
      <c r="FP3" s="1" t="e">
        <f>AND('Maxi 1'!K16,"AAAAAHdf2qs=")</f>
        <v>#VALUE!</v>
      </c>
      <c r="FQ3" s="1" t="e">
        <f>AND('Maxi 1'!L16,"AAAAAHdf2qw=")</f>
        <v>#VALUE!</v>
      </c>
      <c r="FR3" s="1" t="e">
        <f>AND('Maxi 1'!M16,"AAAAAHdf2q0=")</f>
        <v>#VALUE!</v>
      </c>
      <c r="FS3" s="1" t="e">
        <f>AND('Maxi 1'!N16,"AAAAAHdf2q4=")</f>
        <v>#VALUE!</v>
      </c>
      <c r="FT3" s="1" t="e">
        <f>AND('Maxi 1'!O16,"AAAAAHdf2q8=")</f>
        <v>#VALUE!</v>
      </c>
      <c r="FU3" s="1" t="e">
        <f>AND('Maxi 1'!P16,"AAAAAHdf2rA=")</f>
        <v>#VALUE!</v>
      </c>
      <c r="FV3" s="1" t="e">
        <f>AND('Maxi 1'!Q16,"AAAAAHdf2rE=")</f>
        <v>#VALUE!</v>
      </c>
      <c r="FW3" s="1" t="e">
        <f>AND('Maxi 1'!R16,"AAAAAHdf2rI=")</f>
        <v>#VALUE!</v>
      </c>
      <c r="FX3" s="1" t="e">
        <f>AND('Maxi 1'!S16,"AAAAAHdf2rM=")</f>
        <v>#VALUE!</v>
      </c>
      <c r="FY3" s="1" t="e">
        <f>AND('Maxi 1'!T16,"AAAAAHdf2rQ=")</f>
        <v>#VALUE!</v>
      </c>
      <c r="FZ3" s="1" t="e">
        <f>AND('Maxi 1'!U16,"AAAAAHdf2rU=")</f>
        <v>#VALUE!</v>
      </c>
      <c r="GA3" s="1" t="e">
        <f>AND('Maxi 1'!V16,"AAAAAHdf2rY=")</f>
        <v>#VALUE!</v>
      </c>
      <c r="GB3" s="1" t="e">
        <f>AND('Maxi 1'!W16,"AAAAAHdf2rc=")</f>
        <v>#VALUE!</v>
      </c>
      <c r="GC3" s="1" t="e">
        <f>AND('Maxi 1'!X16,"AAAAAHdf2rg=")</f>
        <v>#VALUE!</v>
      </c>
      <c r="GD3" s="1" t="e">
        <f>AND('Maxi 1'!Y16,"AAAAAHdf2rk=")</f>
        <v>#VALUE!</v>
      </c>
      <c r="GE3" s="1" t="e">
        <f>AND('Maxi 1'!Z16,"AAAAAHdf2ro=")</f>
        <v>#VALUE!</v>
      </c>
      <c r="GF3" s="1" t="e">
        <f>AND('Maxi 1'!AA16,"AAAAAHdf2rs=")</f>
        <v>#VALUE!</v>
      </c>
      <c r="GG3" s="1">
        <f>IF('Maxi 1'!17:17,"AAAAAHdf2rw=",0)</f>
        <v>0</v>
      </c>
      <c r="GH3" s="1" t="e">
        <f>AND('Maxi 1'!A17,"AAAAAHdf2r0=")</f>
        <v>#VALUE!</v>
      </c>
      <c r="GI3" s="1" t="e">
        <f>AND('Maxi 1'!B17,"AAAAAHdf2r4=")</f>
        <v>#VALUE!</v>
      </c>
      <c r="GJ3" s="1" t="e">
        <f>AND('Maxi 1'!C17,"AAAAAHdf2r8=")</f>
        <v>#VALUE!</v>
      </c>
      <c r="GK3" s="1" t="e">
        <f>AND('Maxi 1'!D17,"AAAAAHdf2sA=")</f>
        <v>#VALUE!</v>
      </c>
      <c r="GL3" s="1" t="e">
        <f>AND('Maxi 1'!E17,"AAAAAHdf2sE=")</f>
        <v>#VALUE!</v>
      </c>
      <c r="GM3" s="1" t="e">
        <f>AND('Maxi 1'!F17,"AAAAAHdf2sI=")</f>
        <v>#VALUE!</v>
      </c>
      <c r="GN3" s="1" t="e">
        <f>AND('Maxi 1'!G17,"AAAAAHdf2sM=")</f>
        <v>#VALUE!</v>
      </c>
      <c r="GO3" s="1" t="e">
        <f>AND('Maxi 1'!H17,"AAAAAHdf2sQ=")</f>
        <v>#VALUE!</v>
      </c>
      <c r="GP3" s="1" t="e">
        <f>AND('Maxi 1'!I17,"AAAAAHdf2sU=")</f>
        <v>#VALUE!</v>
      </c>
      <c r="GQ3" s="1" t="e">
        <f>AND('Maxi 1'!J17,"AAAAAHdf2sY=")</f>
        <v>#VALUE!</v>
      </c>
      <c r="GR3" s="1" t="e">
        <f>AND('Maxi 1'!K17,"AAAAAHdf2sc=")</f>
        <v>#VALUE!</v>
      </c>
      <c r="GS3" s="1" t="e">
        <f>AND('Maxi 1'!L17,"AAAAAHdf2sg=")</f>
        <v>#VALUE!</v>
      </c>
      <c r="GT3" s="1" t="e">
        <f>AND('Maxi 1'!M17,"AAAAAHdf2sk=")</f>
        <v>#VALUE!</v>
      </c>
      <c r="GU3" s="1" t="e">
        <f>AND('Maxi 1'!N17,"AAAAAHdf2so=")</f>
        <v>#VALUE!</v>
      </c>
      <c r="GV3" s="1" t="e">
        <f>AND('Maxi 1'!O17,"AAAAAHdf2ss=")</f>
        <v>#VALUE!</v>
      </c>
      <c r="GW3" s="1" t="e">
        <f>AND('Maxi 1'!P17,"AAAAAHdf2sw=")</f>
        <v>#VALUE!</v>
      </c>
      <c r="GX3" s="1" t="e">
        <f>AND('Maxi 1'!Q17,"AAAAAHdf2s0=")</f>
        <v>#VALUE!</v>
      </c>
      <c r="GY3" s="1" t="e">
        <f>AND('Maxi 1'!R17,"AAAAAHdf2s4=")</f>
        <v>#VALUE!</v>
      </c>
      <c r="GZ3" s="1" t="e">
        <f>AND('Maxi 1'!S17,"AAAAAHdf2s8=")</f>
        <v>#VALUE!</v>
      </c>
      <c r="HA3" s="1" t="e">
        <f>AND('Maxi 1'!T17,"AAAAAHdf2tA=")</f>
        <v>#VALUE!</v>
      </c>
      <c r="HB3" s="1" t="e">
        <f>AND('Maxi 1'!U17,"AAAAAHdf2tE=")</f>
        <v>#VALUE!</v>
      </c>
      <c r="HC3" s="1" t="e">
        <f>AND('Maxi 1'!V17,"AAAAAHdf2tI=")</f>
        <v>#VALUE!</v>
      </c>
      <c r="HD3" s="1" t="e">
        <f>AND('Maxi 1'!W17,"AAAAAHdf2tM=")</f>
        <v>#VALUE!</v>
      </c>
      <c r="HE3" s="1" t="e">
        <f>AND('Maxi 1'!X17,"AAAAAHdf2tQ=")</f>
        <v>#VALUE!</v>
      </c>
      <c r="HF3" s="1" t="e">
        <f>AND('Maxi 1'!Y17,"AAAAAHdf2tU=")</f>
        <v>#VALUE!</v>
      </c>
      <c r="HG3" s="1" t="e">
        <f>AND('Maxi 1'!Z17,"AAAAAHdf2tY=")</f>
        <v>#VALUE!</v>
      </c>
      <c r="HH3" s="1" t="e">
        <f>AND('Maxi 1'!AA17,"AAAAAHdf2tc=")</f>
        <v>#VALUE!</v>
      </c>
      <c r="HI3" s="1">
        <f>IF('Maxi 1'!18:18,"AAAAAHdf2tg=",0)</f>
        <v>0</v>
      </c>
      <c r="HJ3" s="1" t="e">
        <f>AND('Maxi 1'!A18,"AAAAAHdf2tk=")</f>
        <v>#VALUE!</v>
      </c>
      <c r="HK3" s="1" t="e">
        <f>AND('Maxi 1'!B18,"AAAAAHdf2to=")</f>
        <v>#VALUE!</v>
      </c>
      <c r="HL3" s="1" t="e">
        <f>AND('Maxi 1'!C18,"AAAAAHdf2ts=")</f>
        <v>#VALUE!</v>
      </c>
      <c r="HM3" s="1" t="e">
        <f>AND('Maxi 1'!D18,"AAAAAHdf2tw=")</f>
        <v>#VALUE!</v>
      </c>
      <c r="HN3" s="1" t="e">
        <f>AND('Maxi 1'!E18,"AAAAAHdf2t0=")</f>
        <v>#VALUE!</v>
      </c>
      <c r="HO3" s="1" t="e">
        <f>AND('Maxi 1'!F18,"AAAAAHdf2t4=")</f>
        <v>#VALUE!</v>
      </c>
      <c r="HP3" s="1" t="e">
        <f>AND('Maxi 1'!G18,"AAAAAHdf2t8=")</f>
        <v>#VALUE!</v>
      </c>
      <c r="HQ3" s="1" t="e">
        <f>AND('Maxi 1'!H18,"AAAAAHdf2uA=")</f>
        <v>#VALUE!</v>
      </c>
      <c r="HR3" s="1" t="e">
        <f>AND('Maxi 1'!I18,"AAAAAHdf2uE=")</f>
        <v>#VALUE!</v>
      </c>
      <c r="HS3" s="1" t="e">
        <f>AND('Maxi 1'!J18,"AAAAAHdf2uI=")</f>
        <v>#VALUE!</v>
      </c>
      <c r="HT3" s="1" t="e">
        <f>AND('Maxi 1'!K18,"AAAAAHdf2uM=")</f>
        <v>#VALUE!</v>
      </c>
      <c r="HU3" s="1" t="e">
        <f>AND('Maxi 1'!L18,"AAAAAHdf2uQ=")</f>
        <v>#VALUE!</v>
      </c>
      <c r="HV3" s="1" t="e">
        <f>AND('Maxi 1'!M18,"AAAAAHdf2uU=")</f>
        <v>#VALUE!</v>
      </c>
      <c r="HW3" s="1" t="e">
        <f>AND('Maxi 1'!N18,"AAAAAHdf2uY=")</f>
        <v>#VALUE!</v>
      </c>
      <c r="HX3" s="1" t="e">
        <f>AND('Maxi 1'!O18,"AAAAAHdf2uc=")</f>
        <v>#VALUE!</v>
      </c>
      <c r="HY3" s="1" t="e">
        <f>AND('Maxi 1'!P18,"AAAAAHdf2ug=")</f>
        <v>#VALUE!</v>
      </c>
      <c r="HZ3" s="1" t="e">
        <f>AND('Maxi 1'!Q18,"AAAAAHdf2uk=")</f>
        <v>#VALUE!</v>
      </c>
      <c r="IA3" s="1" t="e">
        <f>AND('Maxi 1'!R18,"AAAAAHdf2uo=")</f>
        <v>#VALUE!</v>
      </c>
      <c r="IB3" s="1" t="e">
        <f>AND('Maxi 1'!S18,"AAAAAHdf2us=")</f>
        <v>#VALUE!</v>
      </c>
      <c r="IC3" s="1" t="e">
        <f>AND('Maxi 1'!T18,"AAAAAHdf2uw=")</f>
        <v>#VALUE!</v>
      </c>
      <c r="ID3" s="1" t="e">
        <f>AND('Maxi 1'!U18,"AAAAAHdf2u0=")</f>
        <v>#VALUE!</v>
      </c>
      <c r="IE3" s="1" t="e">
        <f>AND('Maxi 1'!V18,"AAAAAHdf2u4=")</f>
        <v>#VALUE!</v>
      </c>
      <c r="IF3" s="1" t="e">
        <f>AND('Maxi 1'!W18,"AAAAAHdf2u8=")</f>
        <v>#VALUE!</v>
      </c>
      <c r="IG3" s="1" t="e">
        <f>AND('Maxi 1'!X18,"AAAAAHdf2vA=")</f>
        <v>#VALUE!</v>
      </c>
      <c r="IH3" s="1" t="e">
        <f>AND('Maxi 1'!Y18,"AAAAAHdf2vE=")</f>
        <v>#VALUE!</v>
      </c>
      <c r="II3" s="1" t="e">
        <f>AND('Maxi 1'!Z18,"AAAAAHdf2vI=")</f>
        <v>#VALUE!</v>
      </c>
      <c r="IJ3" s="1" t="e">
        <f>AND('Maxi 1'!AA18,"AAAAAHdf2vM=")</f>
        <v>#VALUE!</v>
      </c>
      <c r="IK3" s="1">
        <f>IF('Maxi 1'!19:19,"AAAAAHdf2vQ=",0)</f>
        <v>0</v>
      </c>
      <c r="IL3" s="1" t="e">
        <f>AND('Maxi 1'!A19,"AAAAAHdf2vU=")</f>
        <v>#VALUE!</v>
      </c>
      <c r="IM3" s="1" t="e">
        <f>AND('Maxi 1'!B19,"AAAAAHdf2vY=")</f>
        <v>#VALUE!</v>
      </c>
      <c r="IN3" s="1" t="e">
        <f>AND('Maxi 1'!C19,"AAAAAHdf2vc=")</f>
        <v>#VALUE!</v>
      </c>
      <c r="IO3" s="1" t="e">
        <f>AND('Maxi 1'!D19,"AAAAAHdf2vg=")</f>
        <v>#VALUE!</v>
      </c>
      <c r="IP3" s="1" t="e">
        <f>AND('Maxi 1'!E19,"AAAAAHdf2vk=")</f>
        <v>#VALUE!</v>
      </c>
      <c r="IQ3" s="1" t="e">
        <f>AND('Maxi 1'!F19,"AAAAAHdf2vo=")</f>
        <v>#VALUE!</v>
      </c>
      <c r="IR3" s="1" t="e">
        <f>AND('Maxi 1'!G19,"AAAAAHdf2vs=")</f>
        <v>#VALUE!</v>
      </c>
      <c r="IS3" s="1" t="e">
        <f>AND('Maxi 1'!H19,"AAAAAHdf2vw=")</f>
        <v>#VALUE!</v>
      </c>
      <c r="IT3" s="1" t="e">
        <f>AND('Maxi 1'!I19,"AAAAAHdf2v0=")</f>
        <v>#VALUE!</v>
      </c>
      <c r="IU3" s="1" t="e">
        <f>AND('Maxi 1'!J19,"AAAAAHdf2v4=")</f>
        <v>#VALUE!</v>
      </c>
      <c r="IV3" s="1" t="e">
        <f>AND('Maxi 1'!K19,"AAAAAHdf2v8=")</f>
        <v>#VALUE!</v>
      </c>
    </row>
    <row r="4" spans="1:256" ht="15" customHeight="1" x14ac:dyDescent="0.2">
      <c r="A4" s="1" t="e">
        <f>AND('Maxi 1'!L19,"AAAAABv/NwA=")</f>
        <v>#VALUE!</v>
      </c>
      <c r="B4" s="1" t="e">
        <f>AND('Maxi 1'!M19,"AAAAABv/NwE=")</f>
        <v>#VALUE!</v>
      </c>
      <c r="C4" s="1" t="e">
        <f>AND('Maxi 1'!N19,"AAAAABv/NwI=")</f>
        <v>#VALUE!</v>
      </c>
      <c r="D4" s="1" t="e">
        <f>AND('Maxi 1'!O19,"AAAAABv/NwM=")</f>
        <v>#VALUE!</v>
      </c>
      <c r="E4" s="1" t="e">
        <f>AND('Maxi 1'!P19,"AAAAABv/NwQ=")</f>
        <v>#VALUE!</v>
      </c>
      <c r="F4" s="1" t="e">
        <f>AND('Maxi 1'!Q19,"AAAAABv/NwU=")</f>
        <v>#VALUE!</v>
      </c>
      <c r="G4" s="1" t="e">
        <f>AND('Maxi 1'!R19,"AAAAABv/NwY=")</f>
        <v>#VALUE!</v>
      </c>
      <c r="H4" s="1" t="e">
        <f>AND('Maxi 1'!S19,"AAAAABv/Nwc=")</f>
        <v>#VALUE!</v>
      </c>
      <c r="I4" s="1" t="e">
        <f>AND('Maxi 1'!T19,"AAAAABv/Nwg=")</f>
        <v>#VALUE!</v>
      </c>
      <c r="J4" s="1" t="e">
        <f>AND('Maxi 1'!U19,"AAAAABv/Nwk=")</f>
        <v>#VALUE!</v>
      </c>
      <c r="K4" s="1" t="e">
        <f>AND('Maxi 1'!V19,"AAAAABv/Nwo=")</f>
        <v>#VALUE!</v>
      </c>
      <c r="L4" s="1" t="e">
        <f>AND('Maxi 1'!W19,"AAAAABv/Nws=")</f>
        <v>#VALUE!</v>
      </c>
      <c r="M4" s="1" t="e">
        <f>AND('Maxi 1'!X19,"AAAAABv/Nww=")</f>
        <v>#VALUE!</v>
      </c>
      <c r="N4" s="1" t="e">
        <f>AND('Maxi 1'!Y19,"AAAAABv/Nw0=")</f>
        <v>#VALUE!</v>
      </c>
      <c r="O4" s="1" t="e">
        <f>AND('Maxi 1'!Z19,"AAAAABv/Nw4=")</f>
        <v>#VALUE!</v>
      </c>
      <c r="P4" s="1" t="e">
        <f>AND('Maxi 1'!AA19,"AAAAABv/Nw8=")</f>
        <v>#VALUE!</v>
      </c>
      <c r="Q4" s="1">
        <f>IF('Maxi 1'!20:20,"AAAAABv/NxA=",0)</f>
        <v>0</v>
      </c>
      <c r="R4" s="1" t="e">
        <f>AND('Maxi 1'!A20,"AAAAABv/NxE=")</f>
        <v>#VALUE!</v>
      </c>
      <c r="S4" s="1" t="e">
        <f>AND('Maxi 1'!B20,"AAAAABv/NxI=")</f>
        <v>#VALUE!</v>
      </c>
      <c r="T4" s="1" t="e">
        <f>AND('Maxi 1'!C20,"AAAAABv/NxM=")</f>
        <v>#VALUE!</v>
      </c>
      <c r="U4" s="1" t="e">
        <f>AND('Maxi 1'!D20,"AAAAABv/NxQ=")</f>
        <v>#VALUE!</v>
      </c>
      <c r="V4" s="1" t="e">
        <f>AND('Maxi 1'!E20,"AAAAABv/NxU=")</f>
        <v>#VALUE!</v>
      </c>
      <c r="W4" s="1" t="e">
        <f>AND('Maxi 1'!F20,"AAAAABv/NxY=")</f>
        <v>#VALUE!</v>
      </c>
      <c r="X4" s="1" t="e">
        <f>AND('Maxi 1'!G20,"AAAAABv/Nxc=")</f>
        <v>#VALUE!</v>
      </c>
      <c r="Y4" s="1" t="e">
        <f>AND('Maxi 1'!H20,"AAAAABv/Nxg=")</f>
        <v>#VALUE!</v>
      </c>
      <c r="Z4" s="1" t="e">
        <f>AND('Maxi 1'!I20,"AAAAABv/Nxk=")</f>
        <v>#VALUE!</v>
      </c>
      <c r="AA4" s="1" t="e">
        <f>AND('Maxi 1'!J20,"AAAAABv/Nxo=")</f>
        <v>#VALUE!</v>
      </c>
      <c r="AB4" s="1" t="e">
        <f>AND('Maxi 1'!K20,"AAAAABv/Nxs=")</f>
        <v>#VALUE!</v>
      </c>
      <c r="AC4" s="1" t="e">
        <f>AND('Maxi 1'!L20,"AAAAABv/Nxw=")</f>
        <v>#VALUE!</v>
      </c>
      <c r="AD4" s="1" t="e">
        <f>AND('Maxi 1'!M20,"AAAAABv/Nx0=")</f>
        <v>#VALUE!</v>
      </c>
      <c r="AE4" s="1" t="e">
        <f>AND('Maxi 1'!N20,"AAAAABv/Nx4=")</f>
        <v>#VALUE!</v>
      </c>
      <c r="AF4" s="1" t="e">
        <f>AND('Maxi 1'!O20,"AAAAABv/Nx8=")</f>
        <v>#VALUE!</v>
      </c>
      <c r="AG4" s="1" t="e">
        <f>AND('Maxi 1'!P20,"AAAAABv/NyA=")</f>
        <v>#VALUE!</v>
      </c>
      <c r="AH4" s="1" t="e">
        <f>AND('Maxi 1'!Q20,"AAAAABv/NyE=")</f>
        <v>#VALUE!</v>
      </c>
      <c r="AI4" s="1" t="e">
        <f>AND('Maxi 1'!R20,"AAAAABv/NyI=")</f>
        <v>#VALUE!</v>
      </c>
      <c r="AJ4" s="1" t="e">
        <f>AND('Maxi 1'!S20,"AAAAABv/NyM=")</f>
        <v>#VALUE!</v>
      </c>
      <c r="AK4" s="1" t="e">
        <f>AND('Maxi 1'!T20,"AAAAABv/NyQ=")</f>
        <v>#VALUE!</v>
      </c>
      <c r="AL4" s="1" t="e">
        <f>AND('Maxi 1'!U20,"AAAAABv/NyU=")</f>
        <v>#VALUE!</v>
      </c>
      <c r="AM4" s="1" t="e">
        <f>AND('Maxi 1'!V20,"AAAAABv/NyY=")</f>
        <v>#VALUE!</v>
      </c>
      <c r="AN4" s="1" t="e">
        <f>AND('Maxi 1'!W20,"AAAAABv/Nyc=")</f>
        <v>#VALUE!</v>
      </c>
      <c r="AO4" s="1" t="e">
        <f>AND('Maxi 1'!X20,"AAAAABv/Nyg=")</f>
        <v>#VALUE!</v>
      </c>
      <c r="AP4" s="1" t="e">
        <f>AND('Maxi 1'!Y20,"AAAAABv/Nyk=")</f>
        <v>#VALUE!</v>
      </c>
      <c r="AQ4" s="1" t="e">
        <f>AND('Maxi 1'!Z20,"AAAAABv/Nyo=")</f>
        <v>#VALUE!</v>
      </c>
      <c r="AR4" s="1" t="e">
        <f>AND('Maxi 1'!AA20,"AAAAABv/Nys=")</f>
        <v>#VALUE!</v>
      </c>
      <c r="AS4" s="1">
        <f>IF('Maxi 1'!21:21,"AAAAABv/Nyw=",0)</f>
        <v>0</v>
      </c>
      <c r="AT4" s="1" t="e">
        <f>AND('Maxi 1'!A21,"AAAAABv/Ny0=")</f>
        <v>#VALUE!</v>
      </c>
      <c r="AU4" s="1" t="e">
        <f>AND('Maxi 1'!B21,"AAAAABv/Ny4=")</f>
        <v>#VALUE!</v>
      </c>
      <c r="AV4" s="1" t="e">
        <f>AND('Maxi 1'!C21,"AAAAABv/Ny8=")</f>
        <v>#VALUE!</v>
      </c>
      <c r="AW4" s="1" t="e">
        <f>AND('Maxi 1'!D21,"AAAAABv/NzA=")</f>
        <v>#VALUE!</v>
      </c>
      <c r="AX4" s="1" t="e">
        <f>AND('Maxi 1'!E21,"AAAAABv/NzE=")</f>
        <v>#VALUE!</v>
      </c>
      <c r="AY4" s="1" t="e">
        <f>AND('Maxi 1'!F21,"AAAAABv/NzI=")</f>
        <v>#VALUE!</v>
      </c>
      <c r="AZ4" s="1" t="e">
        <f>AND('Maxi 1'!G21,"AAAAABv/NzM=")</f>
        <v>#VALUE!</v>
      </c>
      <c r="BA4" s="1" t="e">
        <f>AND('Maxi 1'!H21,"AAAAABv/NzQ=")</f>
        <v>#VALUE!</v>
      </c>
      <c r="BB4" s="1" t="e">
        <f>AND('Maxi 1'!I21,"AAAAABv/NzU=")</f>
        <v>#VALUE!</v>
      </c>
      <c r="BC4" s="1" t="e">
        <f>AND('Maxi 1'!J21,"AAAAABv/NzY=")</f>
        <v>#VALUE!</v>
      </c>
      <c r="BD4" s="1" t="e">
        <f>AND('Maxi 1'!K21,"AAAAABv/Nzc=")</f>
        <v>#VALUE!</v>
      </c>
      <c r="BE4" s="1" t="e">
        <f>AND('Maxi 1'!L21,"AAAAABv/Nzg=")</f>
        <v>#VALUE!</v>
      </c>
      <c r="BF4" s="1" t="e">
        <f>AND('Maxi 1'!M21,"AAAAABv/Nzk=")</f>
        <v>#VALUE!</v>
      </c>
      <c r="BG4" s="1" t="e">
        <f>AND('Maxi 1'!N21,"AAAAABv/Nzo=")</f>
        <v>#VALUE!</v>
      </c>
      <c r="BH4" s="1" t="e">
        <f>AND('Maxi 1'!O21,"AAAAABv/Nzs=")</f>
        <v>#VALUE!</v>
      </c>
      <c r="BI4" s="1" t="e">
        <f>AND('Maxi 1'!P21,"AAAAABv/Nzw=")</f>
        <v>#VALUE!</v>
      </c>
      <c r="BJ4" s="1" t="e">
        <f>AND('Maxi 1'!Q21,"AAAAABv/Nz0=")</f>
        <v>#VALUE!</v>
      </c>
      <c r="BK4" s="1" t="e">
        <f>AND('Maxi 1'!R21,"AAAAABv/Nz4=")</f>
        <v>#VALUE!</v>
      </c>
      <c r="BL4" s="1" t="e">
        <f>AND('Maxi 1'!S21,"AAAAABv/Nz8=")</f>
        <v>#VALUE!</v>
      </c>
      <c r="BM4" s="1" t="e">
        <f>AND('Maxi 1'!T21,"AAAAABv/N0A=")</f>
        <v>#VALUE!</v>
      </c>
      <c r="BN4" s="1" t="e">
        <f>AND('Maxi 1'!U21,"AAAAABv/N0E=")</f>
        <v>#VALUE!</v>
      </c>
      <c r="BO4" s="1" t="e">
        <f>AND('Maxi 1'!V21,"AAAAABv/N0I=")</f>
        <v>#VALUE!</v>
      </c>
      <c r="BP4" s="1" t="e">
        <f>AND('Maxi 1'!W21,"AAAAABv/N0M=")</f>
        <v>#VALUE!</v>
      </c>
      <c r="BQ4" s="1" t="e">
        <f>AND('Maxi 1'!X21,"AAAAABv/N0Q=")</f>
        <v>#VALUE!</v>
      </c>
      <c r="BR4" s="1" t="e">
        <f>AND('Maxi 1'!Y21,"AAAAABv/N0U=")</f>
        <v>#VALUE!</v>
      </c>
      <c r="BS4" s="1" t="e">
        <f>AND('Maxi 1'!Z21,"AAAAABv/N0Y=")</f>
        <v>#VALUE!</v>
      </c>
      <c r="BT4" s="1" t="e">
        <f>AND('Maxi 1'!AA21,"AAAAABv/N0c=")</f>
        <v>#VALUE!</v>
      </c>
      <c r="BU4" s="1">
        <f>IF('Maxi 1'!22:22,"AAAAABv/N0g=",0)</f>
        <v>0</v>
      </c>
      <c r="BV4" s="1" t="e">
        <f>AND('Maxi 1'!A22,"AAAAABv/N0k=")</f>
        <v>#VALUE!</v>
      </c>
      <c r="BW4" s="1" t="e">
        <f>AND('Maxi 1'!B22,"AAAAABv/N0o=")</f>
        <v>#VALUE!</v>
      </c>
      <c r="BX4" s="1" t="e">
        <f>AND('Maxi 1'!C22,"AAAAABv/N0s=")</f>
        <v>#VALUE!</v>
      </c>
      <c r="BY4" s="1" t="e">
        <f>AND('Maxi 1'!D22,"AAAAABv/N0w=")</f>
        <v>#VALUE!</v>
      </c>
      <c r="BZ4" s="1" t="e">
        <f>AND('Maxi 1'!E22,"AAAAABv/N00=")</f>
        <v>#VALUE!</v>
      </c>
      <c r="CA4" s="1" t="e">
        <f>AND('Maxi 1'!F22,"AAAAABv/N04=")</f>
        <v>#VALUE!</v>
      </c>
      <c r="CB4" s="1" t="e">
        <f>AND('Maxi 1'!G22,"AAAAABv/N08=")</f>
        <v>#VALUE!</v>
      </c>
      <c r="CC4" s="1" t="e">
        <f>AND('Maxi 1'!H22,"AAAAABv/N1A=")</f>
        <v>#VALUE!</v>
      </c>
      <c r="CD4" s="1" t="e">
        <f>AND('Maxi 1'!I22,"AAAAABv/N1E=")</f>
        <v>#VALUE!</v>
      </c>
      <c r="CE4" s="1" t="e">
        <f>AND('Maxi 1'!J22,"AAAAABv/N1I=")</f>
        <v>#VALUE!</v>
      </c>
      <c r="CF4" s="1" t="e">
        <f>AND('Maxi 1'!K22,"AAAAABv/N1M=")</f>
        <v>#VALUE!</v>
      </c>
      <c r="CG4" s="1" t="e">
        <f>AND('Maxi 1'!L22,"AAAAABv/N1Q=")</f>
        <v>#VALUE!</v>
      </c>
      <c r="CH4" s="1" t="e">
        <f>AND('Maxi 1'!M22,"AAAAABv/N1U=")</f>
        <v>#VALUE!</v>
      </c>
      <c r="CI4" s="1" t="e">
        <f>AND('Maxi 1'!N22,"AAAAABv/N1Y=")</f>
        <v>#VALUE!</v>
      </c>
      <c r="CJ4" s="1" t="e">
        <f>AND('Maxi 1'!O22,"AAAAABv/N1c=")</f>
        <v>#VALUE!</v>
      </c>
      <c r="CK4" s="1" t="e">
        <f>AND('Maxi 1'!P22,"AAAAABv/N1g=")</f>
        <v>#VALUE!</v>
      </c>
      <c r="CL4" s="1" t="e">
        <f>AND('Maxi 1'!Q22,"AAAAABv/N1k=")</f>
        <v>#VALUE!</v>
      </c>
      <c r="CM4" s="1" t="e">
        <f>AND('Maxi 1'!R22,"AAAAABv/N1o=")</f>
        <v>#VALUE!</v>
      </c>
      <c r="CN4" s="1" t="e">
        <f>AND('Maxi 1'!S22,"AAAAABv/N1s=")</f>
        <v>#VALUE!</v>
      </c>
      <c r="CO4" s="1" t="e">
        <f>AND('Maxi 1'!T22,"AAAAABv/N1w=")</f>
        <v>#VALUE!</v>
      </c>
      <c r="CP4" s="1" t="e">
        <f>AND('Maxi 1'!U22,"AAAAABv/N10=")</f>
        <v>#VALUE!</v>
      </c>
      <c r="CQ4" s="1" t="e">
        <f>AND('Maxi 1'!V22,"AAAAABv/N14=")</f>
        <v>#VALUE!</v>
      </c>
      <c r="CR4" s="1" t="e">
        <f>AND('Maxi 1'!W22,"AAAAABv/N18=")</f>
        <v>#VALUE!</v>
      </c>
      <c r="CS4" s="1" t="e">
        <f>AND('Maxi 1'!X22,"AAAAABv/N2A=")</f>
        <v>#VALUE!</v>
      </c>
      <c r="CT4" s="1" t="e">
        <f>AND('Maxi 1'!Y22,"AAAAABv/N2E=")</f>
        <v>#VALUE!</v>
      </c>
      <c r="CU4" s="1" t="e">
        <f>AND('Maxi 1'!Z22,"AAAAABv/N2I=")</f>
        <v>#VALUE!</v>
      </c>
      <c r="CV4" s="1" t="e">
        <f>AND('Maxi 1'!AA22,"AAAAABv/N2M=")</f>
        <v>#VALUE!</v>
      </c>
      <c r="CW4" s="1">
        <f>IF('Maxi 1'!23:23,"AAAAABv/N2Q=",0)</f>
        <v>0</v>
      </c>
      <c r="CX4" s="1" t="e">
        <f>AND('Maxi 1'!A23,"AAAAABv/N2U=")</f>
        <v>#VALUE!</v>
      </c>
      <c r="CY4" s="1" t="e">
        <f>AND('Maxi 1'!B23,"AAAAABv/N2Y=")</f>
        <v>#VALUE!</v>
      </c>
      <c r="CZ4" s="1" t="e">
        <f>AND('Maxi 1'!C23,"AAAAABv/N2c=")</f>
        <v>#VALUE!</v>
      </c>
      <c r="DA4" s="1" t="e">
        <f>AND('Maxi 1'!D23,"AAAAABv/N2g=")</f>
        <v>#VALUE!</v>
      </c>
      <c r="DB4" s="1" t="e">
        <f>AND('Maxi 1'!E23,"AAAAABv/N2k=")</f>
        <v>#VALUE!</v>
      </c>
      <c r="DC4" s="1" t="e">
        <f>AND('Maxi 1'!F23,"AAAAABv/N2o=")</f>
        <v>#VALUE!</v>
      </c>
      <c r="DD4" s="1" t="e">
        <f>AND('Maxi 1'!G23,"AAAAABv/N2s=")</f>
        <v>#VALUE!</v>
      </c>
      <c r="DE4" s="1" t="e">
        <f>AND('Maxi 1'!H23,"AAAAABv/N2w=")</f>
        <v>#VALUE!</v>
      </c>
      <c r="DF4" s="1" t="e">
        <f>AND('Maxi 1'!I23,"AAAAABv/N20=")</f>
        <v>#VALUE!</v>
      </c>
      <c r="DG4" s="1" t="e">
        <f>AND('Maxi 1'!J23,"AAAAABv/N24=")</f>
        <v>#VALUE!</v>
      </c>
      <c r="DH4" s="1" t="e">
        <f>AND('Maxi 1'!K23,"AAAAABv/N28=")</f>
        <v>#VALUE!</v>
      </c>
      <c r="DI4" s="1" t="e">
        <f>AND('Maxi 1'!L23,"AAAAABv/N3A=")</f>
        <v>#VALUE!</v>
      </c>
      <c r="DJ4" s="1" t="e">
        <f>AND('Maxi 1'!M23,"AAAAABv/N3E=")</f>
        <v>#VALUE!</v>
      </c>
      <c r="DK4" s="1" t="e">
        <f>AND('Maxi 1'!N23,"AAAAABv/N3I=")</f>
        <v>#VALUE!</v>
      </c>
      <c r="DL4" s="1" t="e">
        <f>AND('Maxi 1'!O23,"AAAAABv/N3M=")</f>
        <v>#VALUE!</v>
      </c>
      <c r="DM4" s="1" t="e">
        <f>AND('Maxi 1'!P23,"AAAAABv/N3Q=")</f>
        <v>#VALUE!</v>
      </c>
      <c r="DN4" s="1" t="e">
        <f>AND('Maxi 1'!Q23,"AAAAABv/N3U=")</f>
        <v>#VALUE!</v>
      </c>
      <c r="DO4" s="1" t="e">
        <f>AND('Maxi 1'!R23,"AAAAABv/N3Y=")</f>
        <v>#VALUE!</v>
      </c>
      <c r="DP4" s="1" t="e">
        <f>AND('Maxi 1'!S23,"AAAAABv/N3c=")</f>
        <v>#VALUE!</v>
      </c>
      <c r="DQ4" s="1" t="e">
        <f>AND('Maxi 1'!T23,"AAAAABv/N3g=")</f>
        <v>#VALUE!</v>
      </c>
      <c r="DR4" s="1" t="e">
        <f>AND('Maxi 1'!U23,"AAAAABv/N3k=")</f>
        <v>#VALUE!</v>
      </c>
      <c r="DS4" s="1" t="e">
        <f>AND('Maxi 1'!V23,"AAAAABv/N3o=")</f>
        <v>#VALUE!</v>
      </c>
      <c r="DT4" s="1" t="e">
        <f>AND('Maxi 1'!W23,"AAAAABv/N3s=")</f>
        <v>#VALUE!</v>
      </c>
      <c r="DU4" s="1" t="e">
        <f>AND('Maxi 1'!X23,"AAAAABv/N3w=")</f>
        <v>#VALUE!</v>
      </c>
      <c r="DV4" s="1" t="e">
        <f>AND('Maxi 1'!Y23,"AAAAABv/N30=")</f>
        <v>#VALUE!</v>
      </c>
      <c r="DW4" s="1" t="e">
        <f>AND('Maxi 1'!Z23,"AAAAABv/N34=")</f>
        <v>#VALUE!</v>
      </c>
      <c r="DX4" s="1" t="e">
        <f>AND('Maxi 1'!AA23,"AAAAABv/N38=")</f>
        <v>#VALUE!</v>
      </c>
      <c r="DY4" s="1">
        <f>IF('Maxi 1'!24:24,"AAAAABv/N4A=",0)</f>
        <v>0</v>
      </c>
      <c r="DZ4" s="1" t="e">
        <f>AND('Maxi 1'!A24,"AAAAABv/N4E=")</f>
        <v>#VALUE!</v>
      </c>
      <c r="EA4" s="1" t="e">
        <f>AND('Maxi 1'!B24,"AAAAABv/N4I=")</f>
        <v>#VALUE!</v>
      </c>
      <c r="EB4" s="1" t="e">
        <f>AND('Maxi 1'!C24,"AAAAABv/N4M=")</f>
        <v>#VALUE!</v>
      </c>
      <c r="EC4" s="1" t="e">
        <f>AND('Maxi 1'!D24,"AAAAABv/N4Q=")</f>
        <v>#VALUE!</v>
      </c>
      <c r="ED4" s="1" t="e">
        <f>AND('Maxi 1'!E24,"AAAAABv/N4U=")</f>
        <v>#VALUE!</v>
      </c>
      <c r="EE4" s="1" t="e">
        <f>AND('Maxi 1'!F24,"AAAAABv/N4Y=")</f>
        <v>#VALUE!</v>
      </c>
      <c r="EF4" s="1" t="e">
        <f>AND('Maxi 1'!G24,"AAAAABv/N4c=")</f>
        <v>#VALUE!</v>
      </c>
      <c r="EG4" s="1" t="e">
        <f>AND('Maxi 1'!H24,"AAAAABv/N4g=")</f>
        <v>#VALUE!</v>
      </c>
      <c r="EH4" s="1" t="e">
        <f>AND('Maxi 1'!I24,"AAAAABv/N4k=")</f>
        <v>#VALUE!</v>
      </c>
      <c r="EI4" s="1" t="e">
        <f>AND('Maxi 1'!J24,"AAAAABv/N4o=")</f>
        <v>#VALUE!</v>
      </c>
      <c r="EJ4" s="1" t="e">
        <f>AND('Maxi 1'!K24,"AAAAABv/N4s=")</f>
        <v>#VALUE!</v>
      </c>
      <c r="EK4" s="1" t="e">
        <f>AND('Maxi 1'!L24,"AAAAABv/N4w=")</f>
        <v>#VALUE!</v>
      </c>
      <c r="EL4" s="1" t="e">
        <f>AND('Maxi 1'!M24,"AAAAABv/N40=")</f>
        <v>#VALUE!</v>
      </c>
      <c r="EM4" s="1" t="e">
        <f>AND('Maxi 1'!N24,"AAAAABv/N44=")</f>
        <v>#VALUE!</v>
      </c>
      <c r="EN4" s="1" t="e">
        <f>AND('Maxi 1'!O24,"AAAAABv/N48=")</f>
        <v>#VALUE!</v>
      </c>
      <c r="EO4" s="1" t="e">
        <f>AND('Maxi 1'!P24,"AAAAABv/N5A=")</f>
        <v>#VALUE!</v>
      </c>
      <c r="EP4" s="1" t="e">
        <f>AND('Maxi 1'!Q24,"AAAAABv/N5E=")</f>
        <v>#VALUE!</v>
      </c>
      <c r="EQ4" s="1" t="e">
        <f>AND('Maxi 1'!R24,"AAAAABv/N5I=")</f>
        <v>#VALUE!</v>
      </c>
      <c r="ER4" s="1" t="e">
        <f>AND('Maxi 1'!S24,"AAAAABv/N5M=")</f>
        <v>#VALUE!</v>
      </c>
      <c r="ES4" s="1" t="e">
        <f>AND('Maxi 1'!T24,"AAAAABv/N5Q=")</f>
        <v>#VALUE!</v>
      </c>
      <c r="ET4" s="1" t="e">
        <f>AND('Maxi 1'!U24,"AAAAABv/N5U=")</f>
        <v>#VALUE!</v>
      </c>
      <c r="EU4" s="1" t="e">
        <f>AND('Maxi 1'!V24,"AAAAABv/N5Y=")</f>
        <v>#VALUE!</v>
      </c>
      <c r="EV4" s="1" t="e">
        <f>AND('Maxi 1'!W24,"AAAAABv/N5c=")</f>
        <v>#VALUE!</v>
      </c>
      <c r="EW4" s="1" t="e">
        <f>AND('Maxi 1'!X24,"AAAAABv/N5g=")</f>
        <v>#VALUE!</v>
      </c>
      <c r="EX4" s="1" t="e">
        <f>AND('Maxi 1'!Y24,"AAAAABv/N5k=")</f>
        <v>#VALUE!</v>
      </c>
      <c r="EY4" s="1" t="e">
        <f>AND('Maxi 1'!Z24,"AAAAABv/N5o=")</f>
        <v>#VALUE!</v>
      </c>
      <c r="EZ4" s="1" t="e">
        <f>AND('Maxi 1'!AA24,"AAAAABv/N5s=")</f>
        <v>#VALUE!</v>
      </c>
      <c r="FA4" s="1">
        <f>IF('Maxi 1'!25:25,"AAAAABv/N5w=",0)</f>
        <v>0</v>
      </c>
      <c r="FB4" s="1" t="e">
        <f>AND('Maxi 1'!A25,"AAAAABv/N50=")</f>
        <v>#VALUE!</v>
      </c>
      <c r="FC4" s="1" t="e">
        <f>AND('Maxi 1'!B25,"AAAAABv/N54=")</f>
        <v>#VALUE!</v>
      </c>
      <c r="FD4" s="1" t="e">
        <f>AND('Maxi 1'!C25,"AAAAABv/N58=")</f>
        <v>#VALUE!</v>
      </c>
      <c r="FE4" s="1" t="e">
        <f>AND('Maxi 1'!D25,"AAAAABv/N6A=")</f>
        <v>#VALUE!</v>
      </c>
      <c r="FF4" s="1" t="e">
        <f>AND('Maxi 1'!E25,"AAAAABv/N6E=")</f>
        <v>#VALUE!</v>
      </c>
      <c r="FG4" s="1" t="e">
        <f>AND('Maxi 1'!F25,"AAAAABv/N6I=")</f>
        <v>#VALUE!</v>
      </c>
      <c r="FH4" s="1" t="e">
        <f>AND('Maxi 1'!G25,"AAAAABv/N6M=")</f>
        <v>#VALUE!</v>
      </c>
      <c r="FI4" s="1" t="e">
        <f>AND('Maxi 1'!H25,"AAAAABv/N6Q=")</f>
        <v>#VALUE!</v>
      </c>
      <c r="FJ4" s="1" t="e">
        <f>AND('Maxi 1'!I25,"AAAAABv/N6U=")</f>
        <v>#VALUE!</v>
      </c>
      <c r="FK4" s="1" t="e">
        <f>AND('Maxi 1'!J25,"AAAAABv/N6Y=")</f>
        <v>#VALUE!</v>
      </c>
      <c r="FL4" s="1" t="e">
        <f>AND('Maxi 1'!K25,"AAAAABv/N6c=")</f>
        <v>#VALUE!</v>
      </c>
      <c r="FM4" s="1" t="e">
        <f>AND('Maxi 1'!L25,"AAAAABv/N6g=")</f>
        <v>#VALUE!</v>
      </c>
      <c r="FN4" s="1" t="e">
        <f>AND('Maxi 1'!M25,"AAAAABv/N6k=")</f>
        <v>#VALUE!</v>
      </c>
      <c r="FO4" s="1" t="e">
        <f>AND('Maxi 1'!N25,"AAAAABv/N6o=")</f>
        <v>#VALUE!</v>
      </c>
      <c r="FP4" s="1" t="e">
        <f>AND('Maxi 1'!O25,"AAAAABv/N6s=")</f>
        <v>#VALUE!</v>
      </c>
      <c r="FQ4" s="1" t="e">
        <f>AND('Maxi 1'!P25,"AAAAABv/N6w=")</f>
        <v>#VALUE!</v>
      </c>
      <c r="FR4" s="1" t="e">
        <f>AND('Maxi 1'!Q25,"AAAAABv/N60=")</f>
        <v>#VALUE!</v>
      </c>
      <c r="FS4" s="1" t="e">
        <f>AND('Maxi 1'!R25,"AAAAABv/N64=")</f>
        <v>#VALUE!</v>
      </c>
      <c r="FT4" s="1" t="e">
        <f>AND('Maxi 1'!S25,"AAAAABv/N68=")</f>
        <v>#VALUE!</v>
      </c>
      <c r="FU4" s="1" t="e">
        <f>AND('Maxi 1'!T25,"AAAAABv/N7A=")</f>
        <v>#VALUE!</v>
      </c>
      <c r="FV4" s="1" t="e">
        <f>AND('Maxi 1'!U25,"AAAAABv/N7E=")</f>
        <v>#VALUE!</v>
      </c>
      <c r="FW4" s="1" t="e">
        <f>AND('Maxi 1'!V25,"AAAAABv/N7I=")</f>
        <v>#VALUE!</v>
      </c>
      <c r="FX4" s="1" t="e">
        <f>AND('Maxi 1'!W25,"AAAAABv/N7M=")</f>
        <v>#VALUE!</v>
      </c>
      <c r="FY4" s="1" t="e">
        <f>AND('Maxi 1'!X25,"AAAAABv/N7Q=")</f>
        <v>#VALUE!</v>
      </c>
      <c r="FZ4" s="1" t="e">
        <f>AND('Maxi 1'!Y25,"AAAAABv/N7U=")</f>
        <v>#VALUE!</v>
      </c>
      <c r="GA4" s="1" t="e">
        <f>AND('Maxi 1'!Z25,"AAAAABv/N7Y=")</f>
        <v>#VALUE!</v>
      </c>
      <c r="GB4" s="1" t="e">
        <f>AND('Maxi 1'!AA25,"AAAAABv/N7c=")</f>
        <v>#VALUE!</v>
      </c>
      <c r="GC4" s="1">
        <f>IF('Maxi 1'!26:26,"AAAAABv/N7g=",0)</f>
        <v>0</v>
      </c>
      <c r="GD4" s="1" t="e">
        <f>AND('Maxi 1'!A26,"AAAAABv/N7k=")</f>
        <v>#VALUE!</v>
      </c>
      <c r="GE4" s="1" t="e">
        <f>AND('Maxi 1'!B26,"AAAAABv/N7o=")</f>
        <v>#VALUE!</v>
      </c>
      <c r="GF4" s="1" t="e">
        <f>AND('Maxi 1'!C26,"AAAAABv/N7s=")</f>
        <v>#VALUE!</v>
      </c>
      <c r="GG4" s="1" t="e">
        <f>AND('Maxi 1'!D26,"AAAAABv/N7w=")</f>
        <v>#VALUE!</v>
      </c>
      <c r="GH4" s="1" t="e">
        <f>AND('Maxi 1'!E26,"AAAAABv/N70=")</f>
        <v>#VALUE!</v>
      </c>
      <c r="GI4" s="1" t="e">
        <f>AND('Maxi 1'!F26,"AAAAABv/N74=")</f>
        <v>#VALUE!</v>
      </c>
      <c r="GJ4" s="1" t="e">
        <f>AND('Maxi 1'!G26,"AAAAABv/N78=")</f>
        <v>#VALUE!</v>
      </c>
      <c r="GK4" s="1" t="e">
        <f>AND('Maxi 1'!H26,"AAAAABv/N8A=")</f>
        <v>#VALUE!</v>
      </c>
      <c r="GL4" s="1" t="e">
        <f>AND('Maxi 1'!I26,"AAAAABv/N8E=")</f>
        <v>#VALUE!</v>
      </c>
      <c r="GM4" s="1" t="e">
        <f>AND('Maxi 1'!J26,"AAAAABv/N8I=")</f>
        <v>#VALUE!</v>
      </c>
      <c r="GN4" s="1" t="e">
        <f>AND('Maxi 1'!K26,"AAAAABv/N8M=")</f>
        <v>#VALUE!</v>
      </c>
      <c r="GO4" s="1" t="e">
        <f>AND('Maxi 1'!L26,"AAAAABv/N8Q=")</f>
        <v>#VALUE!</v>
      </c>
      <c r="GP4" s="1" t="e">
        <f>AND('Maxi 1'!M26,"AAAAABv/N8U=")</f>
        <v>#VALUE!</v>
      </c>
      <c r="GQ4" s="1" t="e">
        <f>AND('Maxi 1'!N26,"AAAAABv/N8Y=")</f>
        <v>#VALUE!</v>
      </c>
      <c r="GR4" s="1" t="e">
        <f>AND('Maxi 1'!O26,"AAAAABv/N8c=")</f>
        <v>#VALUE!</v>
      </c>
      <c r="GS4" s="1" t="e">
        <f>AND('Maxi 1'!P26,"AAAAABv/N8g=")</f>
        <v>#VALUE!</v>
      </c>
      <c r="GT4" s="1" t="e">
        <f>AND('Maxi 1'!Q26,"AAAAABv/N8k=")</f>
        <v>#VALUE!</v>
      </c>
      <c r="GU4" s="1" t="e">
        <f>AND('Maxi 1'!R26,"AAAAABv/N8o=")</f>
        <v>#VALUE!</v>
      </c>
      <c r="GV4" s="1" t="e">
        <f>AND('Maxi 1'!S26,"AAAAABv/N8s=")</f>
        <v>#VALUE!</v>
      </c>
      <c r="GW4" s="1" t="e">
        <f>AND('Maxi 1'!T26,"AAAAABv/N8w=")</f>
        <v>#VALUE!</v>
      </c>
      <c r="GX4" s="1" t="e">
        <f>AND('Maxi 1'!U26,"AAAAABv/N80=")</f>
        <v>#VALUE!</v>
      </c>
      <c r="GY4" s="1" t="e">
        <f>AND('Maxi 1'!V26,"AAAAABv/N84=")</f>
        <v>#VALUE!</v>
      </c>
      <c r="GZ4" s="1" t="e">
        <f>AND('Maxi 1'!W26,"AAAAABv/N88=")</f>
        <v>#VALUE!</v>
      </c>
      <c r="HA4" s="1" t="e">
        <f>AND('Maxi 1'!X26,"AAAAABv/N9A=")</f>
        <v>#VALUE!</v>
      </c>
      <c r="HB4" s="1" t="e">
        <f>AND('Maxi 1'!Y26,"AAAAABv/N9E=")</f>
        <v>#VALUE!</v>
      </c>
      <c r="HC4" s="1" t="e">
        <f>AND('Maxi 1'!Z26,"AAAAABv/N9I=")</f>
        <v>#VALUE!</v>
      </c>
      <c r="HD4" s="1" t="e">
        <f>AND('Maxi 1'!AA26,"AAAAABv/N9M=")</f>
        <v>#VALUE!</v>
      </c>
      <c r="HE4" s="1">
        <f>IF('Maxi 1'!27:27,"AAAAABv/N9Q=",0)</f>
        <v>0</v>
      </c>
      <c r="HF4" s="1" t="e">
        <f>AND('Maxi 1'!A27,"AAAAABv/N9U=")</f>
        <v>#VALUE!</v>
      </c>
      <c r="HG4" s="1" t="e">
        <f>AND('Maxi 1'!B27,"AAAAABv/N9Y=")</f>
        <v>#VALUE!</v>
      </c>
      <c r="HH4" s="1" t="e">
        <f>AND('Maxi 1'!C27,"AAAAABv/N9c=")</f>
        <v>#VALUE!</v>
      </c>
      <c r="HI4" s="1" t="e">
        <f>AND('Maxi 1'!D27,"AAAAABv/N9g=")</f>
        <v>#VALUE!</v>
      </c>
      <c r="HJ4" s="1" t="e">
        <f>AND('Maxi 1'!E27,"AAAAABv/N9k=")</f>
        <v>#VALUE!</v>
      </c>
      <c r="HK4" s="1" t="e">
        <f>AND('Maxi 1'!F27,"AAAAABv/N9o=")</f>
        <v>#VALUE!</v>
      </c>
      <c r="HL4" s="1" t="e">
        <f>AND('Maxi 1'!G27,"AAAAABv/N9s=")</f>
        <v>#VALUE!</v>
      </c>
      <c r="HM4" s="1" t="e">
        <f>AND('Maxi 1'!H27,"AAAAABv/N9w=")</f>
        <v>#VALUE!</v>
      </c>
      <c r="HN4" s="1" t="e">
        <f>AND('Maxi 1'!I27,"AAAAABv/N90=")</f>
        <v>#VALUE!</v>
      </c>
      <c r="HO4" s="1" t="e">
        <f>AND('Maxi 1'!J27,"AAAAABv/N94=")</f>
        <v>#VALUE!</v>
      </c>
      <c r="HP4" s="1" t="e">
        <f>AND('Maxi 1'!K27,"AAAAABv/N98=")</f>
        <v>#VALUE!</v>
      </c>
      <c r="HQ4" s="1" t="e">
        <f>AND('Maxi 1'!L27,"AAAAABv/N+A=")</f>
        <v>#VALUE!</v>
      </c>
      <c r="HR4" s="1" t="e">
        <f>AND('Maxi 1'!M27,"AAAAABv/N+E=")</f>
        <v>#VALUE!</v>
      </c>
      <c r="HS4" s="1" t="e">
        <f>AND('Maxi 1'!N27,"AAAAABv/N+I=")</f>
        <v>#VALUE!</v>
      </c>
      <c r="HT4" s="1" t="e">
        <f>AND('Maxi 1'!O27,"AAAAABv/N+M=")</f>
        <v>#VALUE!</v>
      </c>
      <c r="HU4" s="1" t="e">
        <f>AND('Maxi 1'!P27,"AAAAABv/N+Q=")</f>
        <v>#VALUE!</v>
      </c>
      <c r="HV4" s="1" t="e">
        <f>AND('Maxi 1'!Q27,"AAAAABv/N+U=")</f>
        <v>#VALUE!</v>
      </c>
      <c r="HW4" s="1" t="e">
        <f>AND('Maxi 1'!R27,"AAAAABv/N+Y=")</f>
        <v>#VALUE!</v>
      </c>
      <c r="HX4" s="1" t="e">
        <f>AND('Maxi 1'!S27,"AAAAABv/N+c=")</f>
        <v>#VALUE!</v>
      </c>
      <c r="HY4" s="1" t="e">
        <f>AND('Maxi 1'!T27,"AAAAABv/N+g=")</f>
        <v>#VALUE!</v>
      </c>
      <c r="HZ4" s="1" t="e">
        <f>AND('Maxi 1'!U27,"AAAAABv/N+k=")</f>
        <v>#VALUE!</v>
      </c>
      <c r="IA4" s="1" t="e">
        <f>AND('Maxi 1'!V27,"AAAAABv/N+o=")</f>
        <v>#VALUE!</v>
      </c>
      <c r="IB4" s="1" t="e">
        <f>AND('Maxi 1'!W27,"AAAAABv/N+s=")</f>
        <v>#VALUE!</v>
      </c>
      <c r="IC4" s="1" t="e">
        <f>AND('Maxi 1'!X27,"AAAAABv/N+w=")</f>
        <v>#VALUE!</v>
      </c>
      <c r="ID4" s="1" t="e">
        <f>AND('Maxi 1'!Y27,"AAAAABv/N+0=")</f>
        <v>#VALUE!</v>
      </c>
      <c r="IE4" s="1" t="e">
        <f>AND('Maxi 1'!Z27,"AAAAABv/N+4=")</f>
        <v>#VALUE!</v>
      </c>
      <c r="IF4" s="1" t="e">
        <f>AND('Maxi 1'!AA27,"AAAAABv/N+8=")</f>
        <v>#VALUE!</v>
      </c>
      <c r="IG4" s="1">
        <f>IF('Maxi 1'!28:28,"AAAAABv/N/A=",0)</f>
        <v>0</v>
      </c>
      <c r="IH4" s="1" t="e">
        <f>AND('Maxi 1'!A28,"AAAAABv/N/E=")</f>
        <v>#VALUE!</v>
      </c>
      <c r="II4" s="1" t="e">
        <f>AND('Maxi 1'!B28,"AAAAABv/N/I=")</f>
        <v>#VALUE!</v>
      </c>
      <c r="IJ4" s="1" t="e">
        <f>AND('Maxi 1'!C28,"AAAAABv/N/M=")</f>
        <v>#VALUE!</v>
      </c>
      <c r="IK4" s="1" t="e">
        <f>AND('Maxi 1'!D28,"AAAAABv/N/Q=")</f>
        <v>#VALUE!</v>
      </c>
      <c r="IL4" s="1" t="e">
        <f>AND('Maxi 1'!E28,"AAAAABv/N/U=")</f>
        <v>#VALUE!</v>
      </c>
      <c r="IM4" s="1" t="e">
        <f>AND('Maxi 1'!F28,"AAAAABv/N/Y=")</f>
        <v>#VALUE!</v>
      </c>
      <c r="IN4" s="1" t="e">
        <f>AND('Maxi 1'!G28,"AAAAABv/N/c=")</f>
        <v>#VALUE!</v>
      </c>
      <c r="IO4" s="1" t="e">
        <f>AND('Maxi 1'!H28,"AAAAABv/N/g=")</f>
        <v>#VALUE!</v>
      </c>
      <c r="IP4" s="1" t="e">
        <f>AND('Maxi 1'!I28,"AAAAABv/N/k=")</f>
        <v>#VALUE!</v>
      </c>
      <c r="IQ4" s="1" t="e">
        <f>AND('Maxi 1'!J28,"AAAAABv/N/o=")</f>
        <v>#VALUE!</v>
      </c>
      <c r="IR4" s="1" t="e">
        <f>AND('Maxi 1'!K28,"AAAAABv/N/s=")</f>
        <v>#VALUE!</v>
      </c>
      <c r="IS4" s="1" t="e">
        <f>AND('Maxi 1'!L28,"AAAAABv/N/w=")</f>
        <v>#VALUE!</v>
      </c>
      <c r="IT4" s="1" t="e">
        <f>AND('Maxi 1'!M28,"AAAAABv/N/0=")</f>
        <v>#VALUE!</v>
      </c>
      <c r="IU4" s="1" t="e">
        <f>AND('Maxi 1'!N28,"AAAAABv/N/4=")</f>
        <v>#VALUE!</v>
      </c>
      <c r="IV4" s="1" t="e">
        <f>AND('Maxi 1'!O28,"AAAAABv/N/8=")</f>
        <v>#VALUE!</v>
      </c>
    </row>
    <row r="5" spans="1:256" ht="15" customHeight="1" x14ac:dyDescent="0.2">
      <c r="A5" s="1" t="e">
        <f>AND('Maxi 1'!P28,"AAAAAFjX5wA=")</f>
        <v>#VALUE!</v>
      </c>
      <c r="B5" s="1" t="e">
        <f>AND('Maxi 1'!Q28,"AAAAAFjX5wE=")</f>
        <v>#VALUE!</v>
      </c>
      <c r="C5" s="1" t="e">
        <f>AND('Maxi 1'!R28,"AAAAAFjX5wI=")</f>
        <v>#VALUE!</v>
      </c>
      <c r="D5" s="1" t="e">
        <f>AND('Maxi 1'!S28,"AAAAAFjX5wM=")</f>
        <v>#VALUE!</v>
      </c>
      <c r="E5" s="1" t="e">
        <f>AND('Maxi 1'!T28,"AAAAAFjX5wQ=")</f>
        <v>#VALUE!</v>
      </c>
      <c r="F5" s="1" t="e">
        <f>AND('Maxi 1'!U28,"AAAAAFjX5wU=")</f>
        <v>#VALUE!</v>
      </c>
      <c r="G5" s="1" t="e">
        <f>AND('Maxi 1'!V28,"AAAAAFjX5wY=")</f>
        <v>#VALUE!</v>
      </c>
      <c r="H5" s="1" t="e">
        <f>AND('Maxi 1'!W28,"AAAAAFjX5wc=")</f>
        <v>#VALUE!</v>
      </c>
      <c r="I5" s="1" t="e">
        <f>AND('Maxi 1'!X28,"AAAAAFjX5wg=")</f>
        <v>#VALUE!</v>
      </c>
      <c r="J5" s="1" t="e">
        <f>AND('Maxi 1'!Y28,"AAAAAFjX5wk=")</f>
        <v>#VALUE!</v>
      </c>
      <c r="K5" s="1" t="e">
        <f>AND('Maxi 1'!Z28,"AAAAAFjX5wo=")</f>
        <v>#VALUE!</v>
      </c>
      <c r="L5" s="1" t="e">
        <f>AND('Maxi 1'!AA28,"AAAAAFjX5ws=")</f>
        <v>#VALUE!</v>
      </c>
      <c r="M5" s="1">
        <f>IF('Maxi 1'!29:29,"AAAAAFjX5ww=",0)</f>
        <v>0</v>
      </c>
      <c r="N5" s="1" t="e">
        <f>AND('Maxi 1'!A29,"AAAAAFjX5w0=")</f>
        <v>#VALUE!</v>
      </c>
      <c r="O5" s="1" t="e">
        <f>AND('Maxi 1'!B29,"AAAAAFjX5w4=")</f>
        <v>#VALUE!</v>
      </c>
      <c r="P5" s="1" t="e">
        <f>AND('Maxi 1'!C29,"AAAAAFjX5w8=")</f>
        <v>#VALUE!</v>
      </c>
      <c r="Q5" s="1" t="e">
        <f>AND('Maxi 1'!D29,"AAAAAFjX5xA=")</f>
        <v>#VALUE!</v>
      </c>
      <c r="R5" s="1" t="e">
        <f>AND('Maxi 1'!E29,"AAAAAFjX5xE=")</f>
        <v>#VALUE!</v>
      </c>
      <c r="S5" s="1" t="e">
        <f>AND('Maxi 1'!F29,"AAAAAFjX5xI=")</f>
        <v>#VALUE!</v>
      </c>
      <c r="T5" s="1" t="e">
        <f>AND('Maxi 1'!G29,"AAAAAFjX5xM=")</f>
        <v>#VALUE!</v>
      </c>
      <c r="U5" s="1" t="e">
        <f>AND('Maxi 1'!H29,"AAAAAFjX5xQ=")</f>
        <v>#VALUE!</v>
      </c>
      <c r="V5" s="1" t="e">
        <f>AND('Maxi 1'!I29,"AAAAAFjX5xU=")</f>
        <v>#VALUE!</v>
      </c>
      <c r="W5" s="1" t="e">
        <f>AND('Maxi 1'!J29,"AAAAAFjX5xY=")</f>
        <v>#VALUE!</v>
      </c>
      <c r="X5" s="1" t="e">
        <f>AND('Maxi 1'!K29,"AAAAAFjX5xc=")</f>
        <v>#VALUE!</v>
      </c>
      <c r="Y5" s="1" t="e">
        <f>AND('Maxi 1'!L29,"AAAAAFjX5xg=")</f>
        <v>#VALUE!</v>
      </c>
      <c r="Z5" s="1" t="e">
        <f>AND('Maxi 1'!M29,"AAAAAFjX5xk=")</f>
        <v>#VALUE!</v>
      </c>
      <c r="AA5" s="1" t="e">
        <f>AND('Maxi 1'!N29,"AAAAAFjX5xo=")</f>
        <v>#VALUE!</v>
      </c>
      <c r="AB5" s="1" t="e">
        <f>AND('Maxi 1'!O29,"AAAAAFjX5xs=")</f>
        <v>#VALUE!</v>
      </c>
      <c r="AC5" s="1" t="e">
        <f>AND('Maxi 1'!P29,"AAAAAFjX5xw=")</f>
        <v>#VALUE!</v>
      </c>
      <c r="AD5" s="1" t="e">
        <f>AND('Maxi 1'!Q29,"AAAAAFjX5x0=")</f>
        <v>#VALUE!</v>
      </c>
      <c r="AE5" s="1" t="e">
        <f>AND('Maxi 1'!R29,"AAAAAFjX5x4=")</f>
        <v>#VALUE!</v>
      </c>
      <c r="AF5" s="1" t="e">
        <f>AND('Maxi 1'!S29,"AAAAAFjX5x8=")</f>
        <v>#VALUE!</v>
      </c>
      <c r="AG5" s="1" t="e">
        <f>AND('Maxi 1'!T29,"AAAAAFjX5yA=")</f>
        <v>#VALUE!</v>
      </c>
      <c r="AH5" s="1" t="e">
        <f>AND('Maxi 1'!U29,"AAAAAFjX5yE=")</f>
        <v>#VALUE!</v>
      </c>
      <c r="AI5" s="1" t="e">
        <f>AND('Maxi 1'!V29,"AAAAAFjX5yI=")</f>
        <v>#VALUE!</v>
      </c>
      <c r="AJ5" s="1" t="e">
        <f>AND('Maxi 1'!W29,"AAAAAFjX5yM=")</f>
        <v>#VALUE!</v>
      </c>
      <c r="AK5" s="1" t="e">
        <f>AND('Maxi 1'!X29,"AAAAAFjX5yQ=")</f>
        <v>#VALUE!</v>
      </c>
      <c r="AL5" s="1" t="e">
        <f>AND('Maxi 1'!Y29,"AAAAAFjX5yU=")</f>
        <v>#VALUE!</v>
      </c>
      <c r="AM5" s="1" t="e">
        <f>AND('Maxi 1'!Z29,"AAAAAFjX5yY=")</f>
        <v>#VALUE!</v>
      </c>
      <c r="AN5" s="1" t="e">
        <f>AND('Maxi 1'!AA29,"AAAAAFjX5yc=")</f>
        <v>#VALUE!</v>
      </c>
      <c r="AO5" s="1">
        <f>IF('Maxi 1'!39:39,"AAAAAFjX5yg=",0)</f>
        <v>0</v>
      </c>
      <c r="AP5" s="1" t="e">
        <f>AND('Maxi 1'!A39,"AAAAAFjX5yk=")</f>
        <v>#VALUE!</v>
      </c>
      <c r="AQ5" s="1" t="e">
        <f>AND('Maxi 1'!B39,"AAAAAFjX5yo=")</f>
        <v>#VALUE!</v>
      </c>
      <c r="AR5" s="1" t="e">
        <f>AND('Maxi 1'!C39,"AAAAAFjX5ys=")</f>
        <v>#VALUE!</v>
      </c>
      <c r="AS5" s="1" t="e">
        <f>AND('Maxi 1'!D39,"AAAAAFjX5yw=")</f>
        <v>#VALUE!</v>
      </c>
      <c r="AT5" s="1" t="e">
        <f>AND('Maxi 1'!E39,"AAAAAFjX5y0=")</f>
        <v>#VALUE!</v>
      </c>
      <c r="AU5" s="1" t="e">
        <f>AND('Maxi 1'!F39,"AAAAAFjX5y4=")</f>
        <v>#VALUE!</v>
      </c>
      <c r="AV5" s="1" t="e">
        <f>AND('Maxi 1'!G39,"AAAAAFjX5y8=")</f>
        <v>#VALUE!</v>
      </c>
      <c r="AW5" s="1" t="e">
        <f>AND('Maxi 1'!H39,"AAAAAFjX5zA=")</f>
        <v>#VALUE!</v>
      </c>
      <c r="AX5" s="1" t="e">
        <f>AND('Maxi 1'!I39,"AAAAAFjX5zE=")</f>
        <v>#VALUE!</v>
      </c>
      <c r="AY5" s="1" t="e">
        <f>AND('Maxi 1'!J39,"AAAAAFjX5zI=")</f>
        <v>#VALUE!</v>
      </c>
      <c r="AZ5" s="1" t="e">
        <f>AND('Maxi 1'!K39,"AAAAAFjX5zM=")</f>
        <v>#VALUE!</v>
      </c>
      <c r="BA5" s="1" t="e">
        <f>AND('Maxi 1'!L39,"AAAAAFjX5zQ=")</f>
        <v>#VALUE!</v>
      </c>
      <c r="BB5" s="1" t="e">
        <f>AND('Maxi 1'!M39,"AAAAAFjX5zU=")</f>
        <v>#VALUE!</v>
      </c>
      <c r="BC5" s="1" t="e">
        <f>AND('Maxi 1'!N39,"AAAAAFjX5zY=")</f>
        <v>#VALUE!</v>
      </c>
      <c r="BD5" s="1" t="e">
        <f>AND('Maxi 1'!O39,"AAAAAFjX5zc=")</f>
        <v>#VALUE!</v>
      </c>
      <c r="BE5" s="1" t="e">
        <f>AND('Maxi 1'!P39,"AAAAAFjX5zg=")</f>
        <v>#VALUE!</v>
      </c>
      <c r="BF5" s="1" t="e">
        <f>AND('Maxi 1'!Q39,"AAAAAFjX5zk=")</f>
        <v>#VALUE!</v>
      </c>
      <c r="BG5" s="1" t="e">
        <f>AND('Maxi 1'!R39,"AAAAAFjX5zo=")</f>
        <v>#VALUE!</v>
      </c>
      <c r="BH5" s="1" t="e">
        <f>AND('Maxi 1'!S39,"AAAAAFjX5zs=")</f>
        <v>#VALUE!</v>
      </c>
      <c r="BI5" s="1" t="e">
        <f>AND('Maxi 1'!T39,"AAAAAFjX5zw=")</f>
        <v>#VALUE!</v>
      </c>
      <c r="BJ5" s="1" t="e">
        <f>AND('Maxi 1'!U39,"AAAAAFjX5z0=")</f>
        <v>#VALUE!</v>
      </c>
      <c r="BK5" s="1" t="e">
        <f>AND('Maxi 1'!V39,"AAAAAFjX5z4=")</f>
        <v>#VALUE!</v>
      </c>
      <c r="BL5" s="1" t="e">
        <f>AND('Maxi 1'!W39,"AAAAAFjX5z8=")</f>
        <v>#VALUE!</v>
      </c>
      <c r="BM5" s="1" t="e">
        <f>AND('Maxi 1'!X39,"AAAAAFjX50A=")</f>
        <v>#VALUE!</v>
      </c>
      <c r="BN5" s="1" t="e">
        <f>AND('Maxi 1'!Y39,"AAAAAFjX50E=")</f>
        <v>#VALUE!</v>
      </c>
      <c r="BO5" s="1" t="e">
        <f>AND('Maxi 1'!Z39,"AAAAAFjX50I=")</f>
        <v>#VALUE!</v>
      </c>
      <c r="BP5" s="1" t="e">
        <f>AND('Maxi 1'!AA39,"AAAAAFjX50M=")</f>
        <v>#VALUE!</v>
      </c>
      <c r="BQ5" s="1" t="e">
        <f>IF('Maxi 1'!#REF!,"AAAAAFjX50Q=",0)</f>
        <v>#REF!</v>
      </c>
      <c r="BR5" s="1" t="e">
        <f>AND('Maxi 1'!#REF!,"AAAAAFjX50U=")</f>
        <v>#REF!</v>
      </c>
      <c r="BS5" s="1" t="e">
        <f>AND('Maxi 1'!#REF!,"AAAAAFjX50Y=")</f>
        <v>#REF!</v>
      </c>
      <c r="BT5" s="1" t="e">
        <f>AND('Maxi 1'!#REF!,"AAAAAFjX50c=")</f>
        <v>#REF!</v>
      </c>
      <c r="BU5" s="1" t="e">
        <f>AND('Maxi 1'!#REF!,"AAAAAFjX50g=")</f>
        <v>#REF!</v>
      </c>
      <c r="BV5" s="1" t="e">
        <f>AND('Maxi 1'!#REF!,"AAAAAFjX50k=")</f>
        <v>#REF!</v>
      </c>
      <c r="BW5" s="1" t="e">
        <f>AND('Maxi 1'!#REF!,"AAAAAFjX50o=")</f>
        <v>#REF!</v>
      </c>
      <c r="BX5" s="1" t="e">
        <f>AND('Maxi 1'!#REF!,"AAAAAFjX50s=")</f>
        <v>#REF!</v>
      </c>
      <c r="BY5" s="1" t="e">
        <f>AND('Maxi 1'!#REF!,"AAAAAFjX50w=")</f>
        <v>#REF!</v>
      </c>
      <c r="BZ5" s="1" t="e">
        <f>AND('Maxi 1'!#REF!,"AAAAAFjX500=")</f>
        <v>#REF!</v>
      </c>
      <c r="CA5" s="1" t="e">
        <f>AND('Maxi 1'!#REF!,"AAAAAFjX504=")</f>
        <v>#REF!</v>
      </c>
      <c r="CB5" s="1" t="e">
        <f>AND('Maxi 1'!#REF!,"AAAAAFjX508=")</f>
        <v>#REF!</v>
      </c>
      <c r="CC5" s="1" t="e">
        <f>AND('Maxi 1'!#REF!,"AAAAAFjX51A=")</f>
        <v>#REF!</v>
      </c>
      <c r="CD5" s="1" t="e">
        <f>AND('Maxi 1'!#REF!,"AAAAAFjX51E=")</f>
        <v>#REF!</v>
      </c>
      <c r="CE5" s="1" t="e">
        <f>AND('Maxi 1'!#REF!,"AAAAAFjX51I=")</f>
        <v>#REF!</v>
      </c>
      <c r="CF5" s="1" t="e">
        <f>AND('Maxi 1'!#REF!,"AAAAAFjX51M=")</f>
        <v>#REF!</v>
      </c>
      <c r="CG5" s="1" t="e">
        <f>AND('Maxi 1'!#REF!,"AAAAAFjX51Q=")</f>
        <v>#REF!</v>
      </c>
      <c r="CH5" s="1" t="e">
        <f>AND('Maxi 1'!#REF!,"AAAAAFjX51U=")</f>
        <v>#REF!</v>
      </c>
      <c r="CI5" s="1" t="e">
        <f>AND('Maxi 1'!#REF!,"AAAAAFjX51Y=")</f>
        <v>#REF!</v>
      </c>
      <c r="CJ5" s="1" t="e">
        <f>AND('Maxi 1'!#REF!,"AAAAAFjX51c=")</f>
        <v>#REF!</v>
      </c>
      <c r="CK5" s="1" t="e">
        <f>AND('Maxi 1'!#REF!,"AAAAAFjX51g=")</f>
        <v>#REF!</v>
      </c>
      <c r="CL5" s="1" t="e">
        <f>AND('Maxi 1'!#REF!,"AAAAAFjX51k=")</f>
        <v>#REF!</v>
      </c>
      <c r="CM5" s="1" t="e">
        <f>AND('Maxi 1'!#REF!,"AAAAAFjX51o=")</f>
        <v>#REF!</v>
      </c>
      <c r="CN5" s="1" t="e">
        <f>AND('Maxi 1'!#REF!,"AAAAAFjX51s=")</f>
        <v>#REF!</v>
      </c>
      <c r="CO5" s="1" t="e">
        <f>AND('Maxi 1'!#REF!,"AAAAAFjX51w=")</f>
        <v>#REF!</v>
      </c>
      <c r="CP5" s="1" t="e">
        <f>AND('Maxi 1'!#REF!,"AAAAAFjX510=")</f>
        <v>#REF!</v>
      </c>
      <c r="CQ5" s="1" t="e">
        <f>AND('Maxi 1'!#REF!,"AAAAAFjX514=")</f>
        <v>#REF!</v>
      </c>
      <c r="CR5" s="1" t="e">
        <f>AND('Maxi 1'!#REF!,"AAAAAFjX518=")</f>
        <v>#REF!</v>
      </c>
      <c r="CS5" s="1" t="e">
        <f>IF('Maxi 1'!#REF!,"AAAAAFjX52A=",0)</f>
        <v>#REF!</v>
      </c>
      <c r="CT5" s="1" t="e">
        <f>AND('Maxi 1'!#REF!,"AAAAAFjX52E=")</f>
        <v>#REF!</v>
      </c>
      <c r="CU5" s="1" t="e">
        <f>AND('Maxi 1'!#REF!,"AAAAAFjX52I=")</f>
        <v>#REF!</v>
      </c>
      <c r="CV5" s="1" t="e">
        <f>AND('Maxi 1'!#REF!,"AAAAAFjX52M=")</f>
        <v>#REF!</v>
      </c>
      <c r="CW5" s="1" t="e">
        <f>AND('Maxi 1'!#REF!,"AAAAAFjX52Q=")</f>
        <v>#REF!</v>
      </c>
      <c r="CX5" s="1" t="e">
        <f>AND('Maxi 1'!#REF!,"AAAAAFjX52U=")</f>
        <v>#REF!</v>
      </c>
      <c r="CY5" s="1" t="e">
        <f>AND('Maxi 1'!#REF!,"AAAAAFjX52Y=")</f>
        <v>#REF!</v>
      </c>
      <c r="CZ5" s="1" t="e">
        <f>AND('Maxi 1'!#REF!,"AAAAAFjX52c=")</f>
        <v>#REF!</v>
      </c>
      <c r="DA5" s="1" t="e">
        <f>AND('Maxi 1'!#REF!,"AAAAAFjX52g=")</f>
        <v>#REF!</v>
      </c>
      <c r="DB5" s="1" t="e">
        <f>AND('Maxi 1'!#REF!,"AAAAAFjX52k=")</f>
        <v>#REF!</v>
      </c>
      <c r="DC5" s="1" t="e">
        <f>AND('Maxi 1'!#REF!,"AAAAAFjX52o=")</f>
        <v>#REF!</v>
      </c>
      <c r="DD5" s="1" t="e">
        <f>AND('Maxi 1'!#REF!,"AAAAAFjX52s=")</f>
        <v>#REF!</v>
      </c>
      <c r="DE5" s="1" t="e">
        <f>AND('Maxi 1'!#REF!,"AAAAAFjX52w=")</f>
        <v>#REF!</v>
      </c>
      <c r="DF5" s="1" t="e">
        <f>AND('Maxi 1'!#REF!,"AAAAAFjX520=")</f>
        <v>#REF!</v>
      </c>
      <c r="DG5" s="1" t="e">
        <f>AND('Maxi 1'!#REF!,"AAAAAFjX524=")</f>
        <v>#REF!</v>
      </c>
      <c r="DH5" s="1" t="e">
        <f>AND('Maxi 1'!#REF!,"AAAAAFjX528=")</f>
        <v>#REF!</v>
      </c>
      <c r="DI5" s="1" t="e">
        <f>AND('Maxi 1'!#REF!,"AAAAAFjX53A=")</f>
        <v>#REF!</v>
      </c>
      <c r="DJ5" s="1" t="e">
        <f>AND('Maxi 1'!#REF!,"AAAAAFjX53E=")</f>
        <v>#REF!</v>
      </c>
      <c r="DK5" s="1" t="e">
        <f>AND('Maxi 1'!#REF!,"AAAAAFjX53I=")</f>
        <v>#REF!</v>
      </c>
      <c r="DL5" s="1" t="e">
        <f>AND('Maxi 1'!#REF!,"AAAAAFjX53M=")</f>
        <v>#REF!</v>
      </c>
      <c r="DM5" s="1" t="e">
        <f>AND('Maxi 1'!#REF!,"AAAAAFjX53Q=")</f>
        <v>#REF!</v>
      </c>
      <c r="DN5" s="1" t="e">
        <f>AND('Maxi 1'!#REF!,"AAAAAFjX53U=")</f>
        <v>#REF!</v>
      </c>
      <c r="DO5" s="1" t="e">
        <f>AND('Maxi 1'!#REF!,"AAAAAFjX53Y=")</f>
        <v>#REF!</v>
      </c>
      <c r="DP5" s="1" t="e">
        <f>AND('Maxi 1'!#REF!,"AAAAAFjX53c=")</f>
        <v>#REF!</v>
      </c>
      <c r="DQ5" s="1" t="e">
        <f>AND('Maxi 1'!#REF!,"AAAAAFjX53g=")</f>
        <v>#REF!</v>
      </c>
      <c r="DR5" s="1" t="e">
        <f>AND('Maxi 1'!#REF!,"AAAAAFjX53k=")</f>
        <v>#REF!</v>
      </c>
      <c r="DS5" s="1" t="e">
        <f>AND('Maxi 1'!#REF!,"AAAAAFjX53o=")</f>
        <v>#REF!</v>
      </c>
      <c r="DT5" s="1" t="e">
        <f>AND('Maxi 1'!#REF!,"AAAAAFjX53s=")</f>
        <v>#REF!</v>
      </c>
      <c r="DU5" s="1" t="e">
        <f>IF('Maxi 1'!#REF!,"AAAAAFjX53w=",0)</f>
        <v>#REF!</v>
      </c>
      <c r="DV5" s="1" t="e">
        <f>AND('Maxi 1'!#REF!,"AAAAAFjX530=")</f>
        <v>#REF!</v>
      </c>
      <c r="DW5" s="1" t="e">
        <f>AND('Maxi 1'!#REF!,"AAAAAFjX534=")</f>
        <v>#REF!</v>
      </c>
      <c r="DX5" s="1" t="e">
        <f>AND('Maxi 1'!#REF!,"AAAAAFjX538=")</f>
        <v>#REF!</v>
      </c>
      <c r="DY5" s="1" t="e">
        <f>AND('Maxi 1'!#REF!,"AAAAAFjX54A=")</f>
        <v>#REF!</v>
      </c>
      <c r="DZ5" s="1" t="e">
        <f>AND('Maxi 1'!#REF!,"AAAAAFjX54E=")</f>
        <v>#REF!</v>
      </c>
      <c r="EA5" s="1" t="e">
        <f>AND('Maxi 1'!#REF!,"AAAAAFjX54I=")</f>
        <v>#REF!</v>
      </c>
      <c r="EB5" s="1" t="e">
        <f>AND('Maxi 1'!#REF!,"AAAAAFjX54M=")</f>
        <v>#REF!</v>
      </c>
      <c r="EC5" s="1" t="e">
        <f>AND('Maxi 1'!#REF!,"AAAAAFjX54Q=")</f>
        <v>#REF!</v>
      </c>
      <c r="ED5" s="1" t="e">
        <f>AND('Maxi 1'!#REF!,"AAAAAFjX54U=")</f>
        <v>#REF!</v>
      </c>
      <c r="EE5" s="1" t="e">
        <f>AND('Maxi 1'!#REF!,"AAAAAFjX54Y=")</f>
        <v>#REF!</v>
      </c>
      <c r="EF5" s="1" t="e">
        <f>AND('Maxi 1'!#REF!,"AAAAAFjX54c=")</f>
        <v>#REF!</v>
      </c>
      <c r="EG5" s="1" t="e">
        <f>AND('Maxi 1'!#REF!,"AAAAAFjX54g=")</f>
        <v>#REF!</v>
      </c>
      <c r="EH5" s="1" t="e">
        <f>AND('Maxi 1'!#REF!,"AAAAAFjX54k=")</f>
        <v>#REF!</v>
      </c>
      <c r="EI5" s="1" t="e">
        <f>AND('Maxi 1'!#REF!,"AAAAAFjX54o=")</f>
        <v>#REF!</v>
      </c>
      <c r="EJ5" s="1" t="e">
        <f>AND('Maxi 1'!#REF!,"AAAAAFjX54s=")</f>
        <v>#REF!</v>
      </c>
      <c r="EK5" s="1" t="e">
        <f>AND('Maxi 1'!#REF!,"AAAAAFjX54w=")</f>
        <v>#REF!</v>
      </c>
      <c r="EL5" s="1" t="e">
        <f>AND('Maxi 1'!#REF!,"AAAAAFjX540=")</f>
        <v>#REF!</v>
      </c>
      <c r="EM5" s="1" t="e">
        <f>AND('Maxi 1'!#REF!,"AAAAAFjX544=")</f>
        <v>#REF!</v>
      </c>
      <c r="EN5" s="1" t="e">
        <f>AND('Maxi 1'!#REF!,"AAAAAFjX548=")</f>
        <v>#REF!</v>
      </c>
      <c r="EO5" s="1" t="e">
        <f>AND('Maxi 1'!#REF!,"AAAAAFjX55A=")</f>
        <v>#REF!</v>
      </c>
      <c r="EP5" s="1" t="e">
        <f>AND('Maxi 1'!#REF!,"AAAAAFjX55E=")</f>
        <v>#REF!</v>
      </c>
      <c r="EQ5" s="1" t="e">
        <f>AND('Maxi 1'!#REF!,"AAAAAFjX55I=")</f>
        <v>#REF!</v>
      </c>
      <c r="ER5" s="1" t="e">
        <f>AND('Maxi 1'!#REF!,"AAAAAFjX55M=")</f>
        <v>#REF!</v>
      </c>
      <c r="ES5" s="1" t="e">
        <f>AND('Maxi 1'!#REF!,"AAAAAFjX55Q=")</f>
        <v>#REF!</v>
      </c>
      <c r="ET5" s="1" t="e">
        <f>AND('Maxi 1'!#REF!,"AAAAAFjX55U=")</f>
        <v>#REF!</v>
      </c>
      <c r="EU5" s="1" t="e">
        <f>AND('Maxi 1'!#REF!,"AAAAAFjX55Y=")</f>
        <v>#REF!</v>
      </c>
      <c r="EV5" s="1" t="e">
        <f>AND('Maxi 1'!#REF!,"AAAAAFjX55c=")</f>
        <v>#REF!</v>
      </c>
      <c r="EW5" s="1" t="e">
        <f>IF('Maxi 1'!#REF!,"AAAAAFjX55g=",0)</f>
        <v>#REF!</v>
      </c>
      <c r="EX5" s="1" t="e">
        <f>AND('Maxi 1'!#REF!,"AAAAAFjX55k=")</f>
        <v>#REF!</v>
      </c>
      <c r="EY5" s="1" t="e">
        <f>AND('Maxi 1'!#REF!,"AAAAAFjX55o=")</f>
        <v>#REF!</v>
      </c>
      <c r="EZ5" s="1" t="e">
        <f>AND('Maxi 1'!#REF!,"AAAAAFjX55s=")</f>
        <v>#REF!</v>
      </c>
      <c r="FA5" s="1" t="e">
        <f>AND('Maxi 1'!#REF!,"AAAAAFjX55w=")</f>
        <v>#REF!</v>
      </c>
      <c r="FB5" s="1" t="e">
        <f>AND('Maxi 1'!#REF!,"AAAAAFjX550=")</f>
        <v>#REF!</v>
      </c>
      <c r="FC5" s="1" t="e">
        <f>AND('Maxi 1'!#REF!,"AAAAAFjX554=")</f>
        <v>#REF!</v>
      </c>
      <c r="FD5" s="1" t="e">
        <f>AND('Maxi 1'!#REF!,"AAAAAFjX558=")</f>
        <v>#REF!</v>
      </c>
      <c r="FE5" s="1" t="e">
        <f>AND('Maxi 1'!#REF!,"AAAAAFjX56A=")</f>
        <v>#REF!</v>
      </c>
      <c r="FF5" s="1" t="e">
        <f>AND('Maxi 1'!#REF!,"AAAAAFjX56E=")</f>
        <v>#REF!</v>
      </c>
      <c r="FG5" s="1" t="e">
        <f>AND('Maxi 1'!#REF!,"AAAAAFjX56I=")</f>
        <v>#REF!</v>
      </c>
      <c r="FH5" s="1" t="e">
        <f>AND('Maxi 1'!#REF!,"AAAAAFjX56M=")</f>
        <v>#REF!</v>
      </c>
      <c r="FI5" s="1" t="e">
        <f>AND('Maxi 1'!#REF!,"AAAAAFjX56Q=")</f>
        <v>#REF!</v>
      </c>
      <c r="FJ5" s="1" t="e">
        <f>AND('Maxi 1'!#REF!,"AAAAAFjX56U=")</f>
        <v>#REF!</v>
      </c>
      <c r="FK5" s="1" t="e">
        <f>AND('Maxi 1'!#REF!,"AAAAAFjX56Y=")</f>
        <v>#REF!</v>
      </c>
      <c r="FL5" s="1" t="e">
        <f>AND('Maxi 1'!#REF!,"AAAAAFjX56c=")</f>
        <v>#REF!</v>
      </c>
      <c r="FM5" s="1" t="e">
        <f>AND('Maxi 1'!#REF!,"AAAAAFjX56g=")</f>
        <v>#REF!</v>
      </c>
      <c r="FN5" s="1" t="e">
        <f>AND('Maxi 1'!#REF!,"AAAAAFjX56k=")</f>
        <v>#REF!</v>
      </c>
      <c r="FO5" s="1" t="e">
        <f>AND('Maxi 1'!#REF!,"AAAAAFjX56o=")</f>
        <v>#REF!</v>
      </c>
      <c r="FP5" s="1" t="e">
        <f>AND('Maxi 1'!#REF!,"AAAAAFjX56s=")</f>
        <v>#REF!</v>
      </c>
      <c r="FQ5" s="1" t="e">
        <f>AND('Maxi 1'!#REF!,"AAAAAFjX56w=")</f>
        <v>#REF!</v>
      </c>
      <c r="FR5" s="1" t="e">
        <f>AND('Maxi 1'!#REF!,"AAAAAFjX560=")</f>
        <v>#REF!</v>
      </c>
      <c r="FS5" s="1" t="e">
        <f>AND('Maxi 1'!#REF!,"AAAAAFjX564=")</f>
        <v>#REF!</v>
      </c>
      <c r="FT5" s="1" t="e">
        <f>AND('Maxi 1'!#REF!,"AAAAAFjX568=")</f>
        <v>#REF!</v>
      </c>
      <c r="FU5" s="1" t="e">
        <f>AND('Maxi 1'!#REF!,"AAAAAFjX57A=")</f>
        <v>#REF!</v>
      </c>
      <c r="FV5" s="1" t="e">
        <f>AND('Maxi 1'!#REF!,"AAAAAFjX57E=")</f>
        <v>#REF!</v>
      </c>
      <c r="FW5" s="1" t="e">
        <f>AND('Maxi 1'!#REF!,"AAAAAFjX57I=")</f>
        <v>#REF!</v>
      </c>
      <c r="FX5" s="1" t="e">
        <f>AND('Maxi 1'!#REF!,"AAAAAFjX57M=")</f>
        <v>#REF!</v>
      </c>
      <c r="FY5" s="1" t="e">
        <f>IF('Maxi 1'!#REF!,"AAAAAFjX57Q=",0)</f>
        <v>#REF!</v>
      </c>
      <c r="FZ5" s="1" t="e">
        <f>AND('Maxi 1'!#REF!,"AAAAAFjX57U=")</f>
        <v>#REF!</v>
      </c>
      <c r="GA5" s="1" t="e">
        <f>AND('Maxi 1'!#REF!,"AAAAAFjX57Y=")</f>
        <v>#REF!</v>
      </c>
      <c r="GB5" s="1" t="e">
        <f>AND('Maxi 1'!#REF!,"AAAAAFjX57c=")</f>
        <v>#REF!</v>
      </c>
      <c r="GC5" s="1" t="e">
        <f>AND('Maxi 1'!#REF!,"AAAAAFjX57g=")</f>
        <v>#REF!</v>
      </c>
      <c r="GD5" s="1" t="e">
        <f>AND('Maxi 1'!#REF!,"AAAAAFjX57k=")</f>
        <v>#REF!</v>
      </c>
      <c r="GE5" s="1" t="e">
        <f>AND('Maxi 1'!#REF!,"AAAAAFjX57o=")</f>
        <v>#REF!</v>
      </c>
      <c r="GF5" s="1" t="e">
        <f>AND('Maxi 1'!#REF!,"AAAAAFjX57s=")</f>
        <v>#REF!</v>
      </c>
      <c r="GG5" s="1" t="e">
        <f>AND('Maxi 1'!#REF!,"AAAAAFjX57w=")</f>
        <v>#REF!</v>
      </c>
      <c r="GH5" s="1" t="e">
        <f>AND('Maxi 1'!#REF!,"AAAAAFjX570=")</f>
        <v>#REF!</v>
      </c>
      <c r="GI5" s="1" t="e">
        <f>AND('Maxi 1'!#REF!,"AAAAAFjX574=")</f>
        <v>#REF!</v>
      </c>
      <c r="GJ5" s="1" t="e">
        <f>AND('Maxi 1'!#REF!,"AAAAAFjX578=")</f>
        <v>#REF!</v>
      </c>
      <c r="GK5" s="1" t="e">
        <f>AND('Maxi 1'!#REF!,"AAAAAFjX58A=")</f>
        <v>#REF!</v>
      </c>
      <c r="GL5" s="1" t="e">
        <f>AND('Maxi 1'!#REF!,"AAAAAFjX58E=")</f>
        <v>#REF!</v>
      </c>
      <c r="GM5" s="1" t="e">
        <f>AND('Maxi 1'!#REF!,"AAAAAFjX58I=")</f>
        <v>#REF!</v>
      </c>
      <c r="GN5" s="1" t="e">
        <f>AND('Maxi 1'!#REF!,"AAAAAFjX58M=")</f>
        <v>#REF!</v>
      </c>
      <c r="GO5" s="1" t="e">
        <f>AND('Maxi 1'!#REF!,"AAAAAFjX58Q=")</f>
        <v>#REF!</v>
      </c>
      <c r="GP5" s="1" t="e">
        <f>AND('Maxi 1'!#REF!,"AAAAAFjX58U=")</f>
        <v>#REF!</v>
      </c>
      <c r="GQ5" s="1" t="e">
        <f>AND('Maxi 1'!#REF!,"AAAAAFjX58Y=")</f>
        <v>#REF!</v>
      </c>
      <c r="GR5" s="1" t="e">
        <f>AND('Maxi 1'!#REF!,"AAAAAFjX58c=")</f>
        <v>#REF!</v>
      </c>
      <c r="GS5" s="1" t="e">
        <f>AND('Maxi 1'!#REF!,"AAAAAFjX58g=")</f>
        <v>#REF!</v>
      </c>
      <c r="GT5" s="1" t="e">
        <f>AND('Maxi 1'!#REF!,"AAAAAFjX58k=")</f>
        <v>#REF!</v>
      </c>
      <c r="GU5" s="1" t="e">
        <f>AND('Maxi 1'!#REF!,"AAAAAFjX58o=")</f>
        <v>#REF!</v>
      </c>
      <c r="GV5" s="1" t="e">
        <f>AND('Maxi 1'!#REF!,"AAAAAFjX58s=")</f>
        <v>#REF!</v>
      </c>
      <c r="GW5" s="1" t="e">
        <f>AND('Maxi 1'!#REF!,"AAAAAFjX58w=")</f>
        <v>#REF!</v>
      </c>
      <c r="GX5" s="1" t="e">
        <f>AND('Maxi 1'!#REF!,"AAAAAFjX580=")</f>
        <v>#REF!</v>
      </c>
      <c r="GY5" s="1" t="e">
        <f>AND('Maxi 1'!#REF!,"AAAAAFjX584=")</f>
        <v>#REF!</v>
      </c>
      <c r="GZ5" s="1" t="e">
        <f>AND('Maxi 1'!#REF!,"AAAAAFjX588=")</f>
        <v>#REF!</v>
      </c>
      <c r="HA5" s="1" t="e">
        <f>IF('Maxi 1'!#REF!,"AAAAAFjX59A=",0)</f>
        <v>#REF!</v>
      </c>
      <c r="HB5" s="1" t="e">
        <f>AND('Maxi 1'!#REF!,"AAAAAFjX59E=")</f>
        <v>#REF!</v>
      </c>
      <c r="HC5" s="1" t="e">
        <f>AND('Maxi 1'!#REF!,"AAAAAFjX59I=")</f>
        <v>#REF!</v>
      </c>
      <c r="HD5" s="1" t="e">
        <f>AND('Maxi 1'!#REF!,"AAAAAFjX59M=")</f>
        <v>#REF!</v>
      </c>
      <c r="HE5" s="1" t="e">
        <f>AND('Maxi 1'!#REF!,"AAAAAFjX59Q=")</f>
        <v>#REF!</v>
      </c>
      <c r="HF5" s="1" t="e">
        <f>AND('Maxi 1'!#REF!,"AAAAAFjX59U=")</f>
        <v>#REF!</v>
      </c>
      <c r="HG5" s="1" t="e">
        <f>AND('Maxi 1'!#REF!,"AAAAAFjX59Y=")</f>
        <v>#REF!</v>
      </c>
      <c r="HH5" s="1" t="e">
        <f>AND('Maxi 1'!#REF!,"AAAAAFjX59c=")</f>
        <v>#REF!</v>
      </c>
      <c r="HI5" s="1" t="e">
        <f>AND('Maxi 1'!#REF!,"AAAAAFjX59g=")</f>
        <v>#REF!</v>
      </c>
      <c r="HJ5" s="1" t="e">
        <f>AND('Maxi 1'!#REF!,"AAAAAFjX59k=")</f>
        <v>#REF!</v>
      </c>
      <c r="HK5" s="1" t="e">
        <f>AND('Maxi 1'!#REF!,"AAAAAFjX59o=")</f>
        <v>#REF!</v>
      </c>
      <c r="HL5" s="1" t="e">
        <f>AND('Maxi 1'!#REF!,"AAAAAFjX59s=")</f>
        <v>#REF!</v>
      </c>
      <c r="HM5" s="1" t="e">
        <f>AND('Maxi 1'!#REF!,"AAAAAFjX59w=")</f>
        <v>#REF!</v>
      </c>
      <c r="HN5" s="1" t="e">
        <f>AND('Maxi 1'!#REF!,"AAAAAFjX590=")</f>
        <v>#REF!</v>
      </c>
      <c r="HO5" s="1" t="e">
        <f>AND('Maxi 1'!#REF!,"AAAAAFjX594=")</f>
        <v>#REF!</v>
      </c>
      <c r="HP5" s="1" t="e">
        <f>AND('Maxi 1'!#REF!,"AAAAAFjX598=")</f>
        <v>#REF!</v>
      </c>
      <c r="HQ5" s="1" t="e">
        <f>AND('Maxi 1'!#REF!,"AAAAAFjX5+A=")</f>
        <v>#REF!</v>
      </c>
      <c r="HR5" s="1" t="e">
        <f>AND('Maxi 1'!#REF!,"AAAAAFjX5+E=")</f>
        <v>#REF!</v>
      </c>
      <c r="HS5" s="1" t="e">
        <f>AND('Maxi 1'!#REF!,"AAAAAFjX5+I=")</f>
        <v>#REF!</v>
      </c>
      <c r="HT5" s="1" t="e">
        <f>AND('Maxi 1'!#REF!,"AAAAAFjX5+M=")</f>
        <v>#REF!</v>
      </c>
      <c r="HU5" s="1" t="e">
        <f>AND('Maxi 1'!#REF!,"AAAAAFjX5+Q=")</f>
        <v>#REF!</v>
      </c>
      <c r="HV5" s="1" t="e">
        <f>AND('Maxi 1'!#REF!,"AAAAAFjX5+U=")</f>
        <v>#REF!</v>
      </c>
      <c r="HW5" s="1" t="e">
        <f>AND('Maxi 1'!#REF!,"AAAAAFjX5+Y=")</f>
        <v>#REF!</v>
      </c>
      <c r="HX5" s="1" t="e">
        <f>AND('Maxi 1'!#REF!,"AAAAAFjX5+c=")</f>
        <v>#REF!</v>
      </c>
      <c r="HY5" s="1" t="e">
        <f>AND('Maxi 1'!#REF!,"AAAAAFjX5+g=")</f>
        <v>#REF!</v>
      </c>
      <c r="HZ5" s="1" t="e">
        <f>AND('Maxi 1'!#REF!,"AAAAAFjX5+k=")</f>
        <v>#REF!</v>
      </c>
      <c r="IA5" s="1" t="e">
        <f>AND('Maxi 1'!#REF!,"AAAAAFjX5+o=")</f>
        <v>#REF!</v>
      </c>
      <c r="IB5" s="1" t="e">
        <f>AND('Maxi 1'!#REF!,"AAAAAFjX5+s=")</f>
        <v>#REF!</v>
      </c>
      <c r="IC5" s="1" t="e">
        <f>IF('Maxi 1'!#REF!,"AAAAAFjX5+w=",0)</f>
        <v>#REF!</v>
      </c>
      <c r="ID5" s="1" t="e">
        <f>AND('Maxi 1'!#REF!,"AAAAAFjX5+0=")</f>
        <v>#REF!</v>
      </c>
      <c r="IE5" s="1" t="e">
        <f>AND('Maxi 1'!#REF!,"AAAAAFjX5+4=")</f>
        <v>#REF!</v>
      </c>
      <c r="IF5" s="1" t="e">
        <f>AND('Maxi 1'!#REF!,"AAAAAFjX5+8=")</f>
        <v>#REF!</v>
      </c>
      <c r="IG5" s="1" t="e">
        <f>AND('Maxi 1'!#REF!,"AAAAAFjX5/A=")</f>
        <v>#REF!</v>
      </c>
      <c r="IH5" s="1" t="e">
        <f>AND('Maxi 1'!#REF!,"AAAAAFjX5/E=")</f>
        <v>#REF!</v>
      </c>
      <c r="II5" s="1" t="e">
        <f>AND('Maxi 1'!#REF!,"AAAAAFjX5/I=")</f>
        <v>#REF!</v>
      </c>
      <c r="IJ5" s="1" t="e">
        <f>AND('Maxi 1'!#REF!,"AAAAAFjX5/M=")</f>
        <v>#REF!</v>
      </c>
      <c r="IK5" s="1" t="e">
        <f>AND('Maxi 1'!#REF!,"AAAAAFjX5/Q=")</f>
        <v>#REF!</v>
      </c>
      <c r="IL5" s="1" t="e">
        <f>AND('Maxi 1'!#REF!,"AAAAAFjX5/U=")</f>
        <v>#REF!</v>
      </c>
      <c r="IM5" s="1" t="e">
        <f>AND('Maxi 1'!#REF!,"AAAAAFjX5/Y=")</f>
        <v>#REF!</v>
      </c>
      <c r="IN5" s="1" t="e">
        <f>AND('Maxi 1'!#REF!,"AAAAAFjX5/c=")</f>
        <v>#REF!</v>
      </c>
      <c r="IO5" s="1" t="e">
        <f>AND('Maxi 1'!#REF!,"AAAAAFjX5/g=")</f>
        <v>#REF!</v>
      </c>
      <c r="IP5" s="1" t="e">
        <f>AND('Maxi 1'!#REF!,"AAAAAFjX5/k=")</f>
        <v>#REF!</v>
      </c>
      <c r="IQ5" s="1" t="e">
        <f>AND('Maxi 1'!#REF!,"AAAAAFjX5/o=")</f>
        <v>#REF!</v>
      </c>
      <c r="IR5" s="1" t="e">
        <f>AND('Maxi 1'!#REF!,"AAAAAFjX5/s=")</f>
        <v>#REF!</v>
      </c>
      <c r="IS5" s="1" t="e">
        <f>AND('Maxi 1'!#REF!,"AAAAAFjX5/w=")</f>
        <v>#REF!</v>
      </c>
      <c r="IT5" s="1" t="e">
        <f>AND('Maxi 1'!#REF!,"AAAAAFjX5/0=")</f>
        <v>#REF!</v>
      </c>
      <c r="IU5" s="1" t="e">
        <f>AND('Maxi 1'!#REF!,"AAAAAFjX5/4=")</f>
        <v>#REF!</v>
      </c>
      <c r="IV5" s="1" t="e">
        <f>AND('Maxi 1'!#REF!,"AAAAAFjX5/8=")</f>
        <v>#REF!</v>
      </c>
    </row>
    <row r="6" spans="1:256" ht="15" customHeight="1" x14ac:dyDescent="0.2">
      <c r="A6" s="1" t="e">
        <f>AND('Maxi 1'!#REF!,"AAAAAGc19wA=")</f>
        <v>#REF!</v>
      </c>
      <c r="B6" s="1" t="e">
        <f>AND('Maxi 1'!#REF!,"AAAAAGc19wE=")</f>
        <v>#REF!</v>
      </c>
      <c r="C6" s="1" t="e">
        <f>AND('Maxi 1'!#REF!,"AAAAAGc19wI=")</f>
        <v>#REF!</v>
      </c>
      <c r="D6" s="1" t="e">
        <f>AND('Maxi 1'!#REF!,"AAAAAGc19wM=")</f>
        <v>#REF!</v>
      </c>
      <c r="E6" s="1" t="e">
        <f>AND('Maxi 1'!#REF!,"AAAAAGc19wQ=")</f>
        <v>#REF!</v>
      </c>
      <c r="F6" s="1" t="e">
        <f>AND('Maxi 1'!#REF!,"AAAAAGc19wU=")</f>
        <v>#REF!</v>
      </c>
      <c r="G6" s="1" t="e">
        <f>AND('Maxi 1'!#REF!,"AAAAAGc19wY=")</f>
        <v>#REF!</v>
      </c>
      <c r="H6" s="1" t="e">
        <f>AND('Maxi 1'!#REF!,"AAAAAGc19wc=")</f>
        <v>#REF!</v>
      </c>
      <c r="I6" s="1" t="e">
        <f>IF('Maxi 1'!#REF!,"AAAAAGc19wg=",0)</f>
        <v>#REF!</v>
      </c>
      <c r="J6" s="1" t="e">
        <f>AND('Maxi 1'!#REF!,"AAAAAGc19wk=")</f>
        <v>#REF!</v>
      </c>
      <c r="K6" s="1" t="e">
        <f>AND('Maxi 1'!#REF!,"AAAAAGc19wo=")</f>
        <v>#REF!</v>
      </c>
      <c r="L6" s="1" t="e">
        <f>AND('Maxi 1'!#REF!,"AAAAAGc19ws=")</f>
        <v>#REF!</v>
      </c>
      <c r="M6" s="1" t="e">
        <f>AND('Maxi 1'!#REF!,"AAAAAGc19ww=")</f>
        <v>#REF!</v>
      </c>
      <c r="N6" s="1" t="e">
        <f>AND('Maxi 1'!#REF!,"AAAAAGc19w0=")</f>
        <v>#REF!</v>
      </c>
      <c r="O6" s="1" t="e">
        <f>AND('Maxi 1'!#REF!,"AAAAAGc19w4=")</f>
        <v>#REF!</v>
      </c>
      <c r="P6" s="1" t="e">
        <f>AND('Maxi 1'!#REF!,"AAAAAGc19w8=")</f>
        <v>#REF!</v>
      </c>
      <c r="Q6" s="1" t="e">
        <f>AND('Maxi 1'!#REF!,"AAAAAGc19xA=")</f>
        <v>#REF!</v>
      </c>
      <c r="R6" s="1" t="e">
        <f>AND('Maxi 1'!#REF!,"AAAAAGc19xE=")</f>
        <v>#REF!</v>
      </c>
      <c r="S6" s="1" t="e">
        <f>AND('Maxi 1'!#REF!,"AAAAAGc19xI=")</f>
        <v>#REF!</v>
      </c>
      <c r="T6" s="1" t="e">
        <f>AND('Maxi 1'!#REF!,"AAAAAGc19xM=")</f>
        <v>#REF!</v>
      </c>
      <c r="U6" s="1" t="e">
        <f>AND('Maxi 1'!#REF!,"AAAAAGc19xQ=")</f>
        <v>#REF!</v>
      </c>
      <c r="V6" s="1" t="e">
        <f>AND('Maxi 1'!#REF!,"AAAAAGc19xU=")</f>
        <v>#REF!</v>
      </c>
      <c r="W6" s="1" t="e">
        <f>AND('Maxi 1'!#REF!,"AAAAAGc19xY=")</f>
        <v>#REF!</v>
      </c>
      <c r="X6" s="1" t="e">
        <f>AND('Maxi 1'!#REF!,"AAAAAGc19xc=")</f>
        <v>#REF!</v>
      </c>
      <c r="Y6" s="1" t="e">
        <f>AND('Maxi 1'!#REF!,"AAAAAGc19xg=")</f>
        <v>#REF!</v>
      </c>
      <c r="Z6" s="1" t="e">
        <f>AND('Maxi 1'!#REF!,"AAAAAGc19xk=")</f>
        <v>#REF!</v>
      </c>
      <c r="AA6" s="1" t="e">
        <f>AND('Maxi 1'!#REF!,"AAAAAGc19xo=")</f>
        <v>#REF!</v>
      </c>
      <c r="AB6" s="1" t="e">
        <f>AND('Maxi 1'!#REF!,"AAAAAGc19xs=")</f>
        <v>#REF!</v>
      </c>
      <c r="AC6" s="1" t="e">
        <f>AND('Maxi 1'!#REF!,"AAAAAGc19xw=")</f>
        <v>#REF!</v>
      </c>
      <c r="AD6" s="1" t="e">
        <f>AND('Maxi 1'!#REF!,"AAAAAGc19x0=")</f>
        <v>#REF!</v>
      </c>
      <c r="AE6" s="1" t="e">
        <f>AND('Maxi 1'!#REF!,"AAAAAGc19x4=")</f>
        <v>#REF!</v>
      </c>
      <c r="AF6" s="1" t="e">
        <f>AND('Maxi 1'!#REF!,"AAAAAGc19x8=")</f>
        <v>#REF!</v>
      </c>
      <c r="AG6" s="1" t="e">
        <f>AND('Maxi 1'!#REF!,"AAAAAGc19yA=")</f>
        <v>#REF!</v>
      </c>
      <c r="AH6" s="1" t="e">
        <f>AND('Maxi 1'!#REF!,"AAAAAGc19yE=")</f>
        <v>#REF!</v>
      </c>
      <c r="AI6" s="1" t="e">
        <f>AND('Maxi 1'!#REF!,"AAAAAGc19yI=")</f>
        <v>#REF!</v>
      </c>
      <c r="AJ6" s="1" t="e">
        <f>AND('Maxi 1'!#REF!,"AAAAAGc19yM=")</f>
        <v>#REF!</v>
      </c>
      <c r="AK6" s="1" t="e">
        <f>IF('Maxi 1'!#REF!,"AAAAAGc19yQ=",0)</f>
        <v>#REF!</v>
      </c>
      <c r="AL6" s="1" t="e">
        <f>AND('Maxi 1'!#REF!,"AAAAAGc19yU=")</f>
        <v>#REF!</v>
      </c>
      <c r="AM6" s="1" t="e">
        <f>AND('Maxi 1'!#REF!,"AAAAAGc19yY=")</f>
        <v>#REF!</v>
      </c>
      <c r="AN6" s="1" t="e">
        <f>AND('Maxi 1'!#REF!,"AAAAAGc19yc=")</f>
        <v>#REF!</v>
      </c>
      <c r="AO6" s="1" t="e">
        <f>AND('Maxi 1'!#REF!,"AAAAAGc19yg=")</f>
        <v>#REF!</v>
      </c>
      <c r="AP6" s="1" t="e">
        <f>AND('Maxi 1'!#REF!,"AAAAAGc19yk=")</f>
        <v>#REF!</v>
      </c>
      <c r="AQ6" s="1" t="e">
        <f>AND('Maxi 1'!#REF!,"AAAAAGc19yo=")</f>
        <v>#REF!</v>
      </c>
      <c r="AR6" s="1" t="e">
        <f>AND('Maxi 1'!#REF!,"AAAAAGc19ys=")</f>
        <v>#REF!</v>
      </c>
      <c r="AS6" s="1" t="e">
        <f>AND('Maxi 1'!#REF!,"AAAAAGc19yw=")</f>
        <v>#REF!</v>
      </c>
      <c r="AT6" s="1" t="e">
        <f>AND('Maxi 1'!#REF!,"AAAAAGc19y0=")</f>
        <v>#REF!</v>
      </c>
      <c r="AU6" s="1" t="e">
        <f>AND('Maxi 1'!#REF!,"AAAAAGc19y4=")</f>
        <v>#REF!</v>
      </c>
      <c r="AV6" s="1" t="e">
        <f>AND('Maxi 1'!#REF!,"AAAAAGc19y8=")</f>
        <v>#REF!</v>
      </c>
      <c r="AW6" s="1" t="e">
        <f>AND('Maxi 1'!#REF!,"AAAAAGc19zA=")</f>
        <v>#REF!</v>
      </c>
      <c r="AX6" s="1" t="e">
        <f>AND('Maxi 1'!#REF!,"AAAAAGc19zE=")</f>
        <v>#REF!</v>
      </c>
      <c r="AY6" s="1" t="e">
        <f>AND('Maxi 1'!#REF!,"AAAAAGc19zI=")</f>
        <v>#REF!</v>
      </c>
      <c r="AZ6" s="1" t="e">
        <f>AND('Maxi 1'!#REF!,"AAAAAGc19zM=")</f>
        <v>#REF!</v>
      </c>
      <c r="BA6" s="1" t="e">
        <f>AND('Maxi 1'!#REF!,"AAAAAGc19zQ=")</f>
        <v>#REF!</v>
      </c>
      <c r="BB6" s="1" t="e">
        <f>AND('Maxi 1'!#REF!,"AAAAAGc19zU=")</f>
        <v>#REF!</v>
      </c>
      <c r="BC6" s="1" t="e">
        <f>AND('Maxi 1'!#REF!,"AAAAAGc19zY=")</f>
        <v>#REF!</v>
      </c>
      <c r="BD6" s="1" t="e">
        <f>AND('Maxi 1'!#REF!,"AAAAAGc19zc=")</f>
        <v>#REF!</v>
      </c>
      <c r="BE6" s="1" t="e">
        <f>AND('Maxi 1'!#REF!,"AAAAAGc19zg=")</f>
        <v>#REF!</v>
      </c>
      <c r="BF6" s="1" t="e">
        <f>AND('Maxi 1'!#REF!,"AAAAAGc19zk=")</f>
        <v>#REF!</v>
      </c>
      <c r="BG6" s="1" t="e">
        <f>AND('Maxi 1'!#REF!,"AAAAAGc19zo=")</f>
        <v>#REF!</v>
      </c>
      <c r="BH6" s="1" t="e">
        <f>AND('Maxi 1'!#REF!,"AAAAAGc19zs=")</f>
        <v>#REF!</v>
      </c>
      <c r="BI6" s="1" t="e">
        <f>AND('Maxi 1'!#REF!,"AAAAAGc19zw=")</f>
        <v>#REF!</v>
      </c>
      <c r="BJ6" s="1" t="e">
        <f>AND('Maxi 1'!#REF!,"AAAAAGc19z0=")</f>
        <v>#REF!</v>
      </c>
      <c r="BK6" s="1" t="e">
        <f>AND('Maxi 1'!#REF!,"AAAAAGc19z4=")</f>
        <v>#REF!</v>
      </c>
      <c r="BL6" s="1" t="e">
        <f>AND('Maxi 1'!#REF!,"AAAAAGc19z8=")</f>
        <v>#REF!</v>
      </c>
      <c r="BM6" s="1" t="e">
        <f>IF('Maxi 1'!#REF!,"AAAAAGc190A=",0)</f>
        <v>#REF!</v>
      </c>
      <c r="BN6" s="1" t="e">
        <f>AND('Maxi 1'!#REF!,"AAAAAGc190E=")</f>
        <v>#REF!</v>
      </c>
      <c r="BO6" s="1" t="e">
        <f>AND('Maxi 1'!#REF!,"AAAAAGc190I=")</f>
        <v>#REF!</v>
      </c>
      <c r="BP6" s="1" t="e">
        <f>AND('Maxi 1'!#REF!,"AAAAAGc190M=")</f>
        <v>#REF!</v>
      </c>
      <c r="BQ6" s="1" t="e">
        <f>AND('Maxi 1'!#REF!,"AAAAAGc190Q=")</f>
        <v>#REF!</v>
      </c>
      <c r="BR6" s="1" t="e">
        <f>AND('Maxi 1'!#REF!,"AAAAAGc190U=")</f>
        <v>#REF!</v>
      </c>
      <c r="BS6" s="1" t="e">
        <f>AND('Maxi 1'!#REF!,"AAAAAGc190Y=")</f>
        <v>#REF!</v>
      </c>
      <c r="BT6" s="1" t="e">
        <f>AND('Maxi 1'!#REF!,"AAAAAGc190c=")</f>
        <v>#REF!</v>
      </c>
      <c r="BU6" s="1" t="e">
        <f>AND('Maxi 1'!#REF!,"AAAAAGc190g=")</f>
        <v>#REF!</v>
      </c>
      <c r="BV6" s="1" t="e">
        <f>AND('Maxi 1'!#REF!,"AAAAAGc190k=")</f>
        <v>#REF!</v>
      </c>
      <c r="BW6" s="1" t="e">
        <f>AND('Maxi 1'!#REF!,"AAAAAGc190o=")</f>
        <v>#REF!</v>
      </c>
      <c r="BX6" s="1" t="e">
        <f>AND('Maxi 1'!#REF!,"AAAAAGc190s=")</f>
        <v>#REF!</v>
      </c>
      <c r="BY6" s="1" t="e">
        <f>AND('Maxi 1'!#REF!,"AAAAAGc190w=")</f>
        <v>#REF!</v>
      </c>
      <c r="BZ6" s="1" t="e">
        <f>AND('Maxi 1'!#REF!,"AAAAAGc1900=")</f>
        <v>#REF!</v>
      </c>
      <c r="CA6" s="1" t="e">
        <f>AND('Maxi 1'!#REF!,"AAAAAGc1904=")</f>
        <v>#REF!</v>
      </c>
      <c r="CB6" s="1" t="e">
        <f>AND('Maxi 1'!#REF!,"AAAAAGc1908=")</f>
        <v>#REF!</v>
      </c>
      <c r="CC6" s="1" t="e">
        <f>AND('Maxi 1'!#REF!,"AAAAAGc191A=")</f>
        <v>#REF!</v>
      </c>
      <c r="CD6" s="1" t="e">
        <f>AND('Maxi 1'!#REF!,"AAAAAGc191E=")</f>
        <v>#REF!</v>
      </c>
      <c r="CE6" s="1" t="e">
        <f>AND('Maxi 1'!#REF!,"AAAAAGc191I=")</f>
        <v>#REF!</v>
      </c>
      <c r="CF6" s="1" t="e">
        <f>AND('Maxi 1'!#REF!,"AAAAAGc191M=")</f>
        <v>#REF!</v>
      </c>
      <c r="CG6" s="1" t="e">
        <f>AND('Maxi 1'!#REF!,"AAAAAGc191Q=")</f>
        <v>#REF!</v>
      </c>
      <c r="CH6" s="1" t="e">
        <f>AND('Maxi 1'!#REF!,"AAAAAGc191U=")</f>
        <v>#REF!</v>
      </c>
      <c r="CI6" s="1" t="e">
        <f>AND('Maxi 1'!#REF!,"AAAAAGc191Y=")</f>
        <v>#REF!</v>
      </c>
      <c r="CJ6" s="1" t="e">
        <f>AND('Maxi 1'!#REF!,"AAAAAGc191c=")</f>
        <v>#REF!</v>
      </c>
      <c r="CK6" s="1" t="e">
        <f>AND('Maxi 1'!#REF!,"AAAAAGc191g=")</f>
        <v>#REF!</v>
      </c>
      <c r="CL6" s="1" t="e">
        <f>AND('Maxi 1'!#REF!,"AAAAAGc191k=")</f>
        <v>#REF!</v>
      </c>
      <c r="CM6" s="1" t="e">
        <f>AND('Maxi 1'!#REF!,"AAAAAGc191o=")</f>
        <v>#REF!</v>
      </c>
      <c r="CN6" s="1" t="e">
        <f>AND('Maxi 1'!#REF!,"AAAAAGc191s=")</f>
        <v>#REF!</v>
      </c>
      <c r="CO6" s="1" t="e">
        <f>IF('Maxi 1'!#REF!,"AAAAAGc191w=",0)</f>
        <v>#REF!</v>
      </c>
      <c r="CP6" s="1" t="e">
        <f>AND('Maxi 1'!#REF!,"AAAAAGc1910=")</f>
        <v>#REF!</v>
      </c>
      <c r="CQ6" s="1" t="e">
        <f>AND('Maxi 1'!#REF!,"AAAAAGc1914=")</f>
        <v>#REF!</v>
      </c>
      <c r="CR6" s="1" t="e">
        <f>AND('Maxi 1'!#REF!,"AAAAAGc1918=")</f>
        <v>#REF!</v>
      </c>
      <c r="CS6" s="1" t="e">
        <f>AND('Maxi 1'!#REF!,"AAAAAGc192A=")</f>
        <v>#REF!</v>
      </c>
      <c r="CT6" s="1" t="e">
        <f>AND('Maxi 1'!#REF!,"AAAAAGc192E=")</f>
        <v>#REF!</v>
      </c>
      <c r="CU6" s="1" t="e">
        <f>AND('Maxi 1'!#REF!,"AAAAAGc192I=")</f>
        <v>#REF!</v>
      </c>
      <c r="CV6" s="1" t="e">
        <f>AND('Maxi 1'!#REF!,"AAAAAGc192M=")</f>
        <v>#REF!</v>
      </c>
      <c r="CW6" s="1" t="e">
        <f>AND('Maxi 1'!#REF!,"AAAAAGc192Q=")</f>
        <v>#REF!</v>
      </c>
      <c r="CX6" s="1" t="e">
        <f>AND('Maxi 1'!#REF!,"AAAAAGc192U=")</f>
        <v>#REF!</v>
      </c>
      <c r="CY6" s="1" t="e">
        <f>AND('Maxi 1'!#REF!,"AAAAAGc192Y=")</f>
        <v>#REF!</v>
      </c>
      <c r="CZ6" s="1" t="e">
        <f>AND('Maxi 1'!#REF!,"AAAAAGc192c=")</f>
        <v>#REF!</v>
      </c>
      <c r="DA6" s="1" t="e">
        <f>AND('Maxi 1'!#REF!,"AAAAAGc192g=")</f>
        <v>#REF!</v>
      </c>
      <c r="DB6" s="1" t="e">
        <f>AND('Maxi 1'!#REF!,"AAAAAGc192k=")</f>
        <v>#REF!</v>
      </c>
      <c r="DC6" s="1" t="e">
        <f>AND('Maxi 1'!#REF!,"AAAAAGc192o=")</f>
        <v>#REF!</v>
      </c>
      <c r="DD6" s="1" t="e">
        <f>AND('Maxi 1'!#REF!,"AAAAAGc192s=")</f>
        <v>#REF!</v>
      </c>
      <c r="DE6" s="1" t="e">
        <f>AND('Maxi 1'!#REF!,"AAAAAGc192w=")</f>
        <v>#REF!</v>
      </c>
      <c r="DF6" s="1" t="e">
        <f>AND('Maxi 1'!#REF!,"AAAAAGc1920=")</f>
        <v>#REF!</v>
      </c>
      <c r="DG6" s="1" t="e">
        <f>AND('Maxi 1'!#REF!,"AAAAAGc1924=")</f>
        <v>#REF!</v>
      </c>
      <c r="DH6" s="1" t="e">
        <f>AND('Maxi 1'!#REF!,"AAAAAGc1928=")</f>
        <v>#REF!</v>
      </c>
      <c r="DI6" s="1" t="e">
        <f>AND('Maxi 1'!#REF!,"AAAAAGc193A=")</f>
        <v>#REF!</v>
      </c>
      <c r="DJ6" s="1" t="e">
        <f>AND('Maxi 1'!#REF!,"AAAAAGc193E=")</f>
        <v>#REF!</v>
      </c>
      <c r="DK6" s="1" t="e">
        <f>AND('Maxi 1'!#REF!,"AAAAAGc193I=")</f>
        <v>#REF!</v>
      </c>
      <c r="DL6" s="1" t="e">
        <f>AND('Maxi 1'!#REF!,"AAAAAGc193M=")</f>
        <v>#REF!</v>
      </c>
      <c r="DM6" s="1" t="e">
        <f>AND('Maxi 1'!#REF!,"AAAAAGc193Q=")</f>
        <v>#REF!</v>
      </c>
      <c r="DN6" s="1" t="e">
        <f>AND('Maxi 1'!#REF!,"AAAAAGc193U=")</f>
        <v>#REF!</v>
      </c>
      <c r="DO6" s="1" t="e">
        <f>AND('Maxi 1'!#REF!,"AAAAAGc193Y=")</f>
        <v>#REF!</v>
      </c>
      <c r="DP6" s="1" t="e">
        <f>AND('Maxi 1'!#REF!,"AAAAAGc193c=")</f>
        <v>#REF!</v>
      </c>
      <c r="DQ6" s="1" t="e">
        <f>IF('Maxi 1'!#REF!,"AAAAAGc193g=",0)</f>
        <v>#REF!</v>
      </c>
      <c r="DR6" s="1" t="e">
        <f>AND('Maxi 1'!#REF!,"AAAAAGc193k=")</f>
        <v>#REF!</v>
      </c>
      <c r="DS6" s="1" t="e">
        <f>AND('Maxi 1'!#REF!,"AAAAAGc193o=")</f>
        <v>#REF!</v>
      </c>
      <c r="DT6" s="1" t="e">
        <f>AND('Maxi 1'!#REF!,"AAAAAGc193s=")</f>
        <v>#REF!</v>
      </c>
      <c r="DU6" s="1" t="e">
        <f>AND('Maxi 1'!#REF!,"AAAAAGc193w=")</f>
        <v>#REF!</v>
      </c>
      <c r="DV6" s="1" t="e">
        <f>AND('Maxi 1'!#REF!,"AAAAAGc1930=")</f>
        <v>#REF!</v>
      </c>
      <c r="DW6" s="1" t="e">
        <f>AND('Maxi 1'!#REF!,"AAAAAGc1934=")</f>
        <v>#REF!</v>
      </c>
      <c r="DX6" s="1" t="e">
        <f>AND('Maxi 1'!#REF!,"AAAAAGc1938=")</f>
        <v>#REF!</v>
      </c>
      <c r="DY6" s="1" t="e">
        <f>AND('Maxi 1'!#REF!,"AAAAAGc194A=")</f>
        <v>#REF!</v>
      </c>
      <c r="DZ6" s="1" t="e">
        <f>AND('Maxi 1'!#REF!,"AAAAAGc194E=")</f>
        <v>#REF!</v>
      </c>
      <c r="EA6" s="1" t="e">
        <f>AND('Maxi 1'!#REF!,"AAAAAGc194I=")</f>
        <v>#REF!</v>
      </c>
      <c r="EB6" s="1" t="e">
        <f>AND('Maxi 1'!#REF!,"AAAAAGc194M=")</f>
        <v>#REF!</v>
      </c>
      <c r="EC6" s="1" t="e">
        <f>AND('Maxi 1'!#REF!,"AAAAAGc194Q=")</f>
        <v>#REF!</v>
      </c>
      <c r="ED6" s="1" t="e">
        <f>AND('Maxi 1'!#REF!,"AAAAAGc194U=")</f>
        <v>#REF!</v>
      </c>
      <c r="EE6" s="1" t="e">
        <f>AND('Maxi 1'!#REF!,"AAAAAGc194Y=")</f>
        <v>#REF!</v>
      </c>
      <c r="EF6" s="1" t="e">
        <f>AND('Maxi 1'!#REF!,"AAAAAGc194c=")</f>
        <v>#REF!</v>
      </c>
      <c r="EG6" s="1" t="e">
        <f>AND('Maxi 1'!#REF!,"AAAAAGc194g=")</f>
        <v>#REF!</v>
      </c>
      <c r="EH6" s="1" t="e">
        <f>AND('Maxi 1'!#REF!,"AAAAAGc194k=")</f>
        <v>#REF!</v>
      </c>
      <c r="EI6" s="1" t="e">
        <f>AND('Maxi 1'!#REF!,"AAAAAGc194o=")</f>
        <v>#REF!</v>
      </c>
      <c r="EJ6" s="1" t="e">
        <f>AND('Maxi 1'!#REF!,"AAAAAGc194s=")</f>
        <v>#REF!</v>
      </c>
      <c r="EK6" s="1" t="e">
        <f>AND('Maxi 1'!#REF!,"AAAAAGc194w=")</f>
        <v>#REF!</v>
      </c>
      <c r="EL6" s="1" t="e">
        <f>AND('Maxi 1'!#REF!,"AAAAAGc1940=")</f>
        <v>#REF!</v>
      </c>
      <c r="EM6" s="1" t="e">
        <f>AND('Maxi 1'!#REF!,"AAAAAGc1944=")</f>
        <v>#REF!</v>
      </c>
      <c r="EN6" s="1" t="e">
        <f>AND('Maxi 1'!#REF!,"AAAAAGc1948=")</f>
        <v>#REF!</v>
      </c>
      <c r="EO6" s="1" t="e">
        <f>AND('Maxi 1'!#REF!,"AAAAAGc195A=")</f>
        <v>#REF!</v>
      </c>
      <c r="EP6" s="1" t="e">
        <f>AND('Maxi 1'!#REF!,"AAAAAGc195E=")</f>
        <v>#REF!</v>
      </c>
      <c r="EQ6" s="1" t="e">
        <f>AND('Maxi 1'!#REF!,"AAAAAGc195I=")</f>
        <v>#REF!</v>
      </c>
      <c r="ER6" s="1" t="e">
        <f>AND('Maxi 1'!#REF!,"AAAAAGc195M=")</f>
        <v>#REF!</v>
      </c>
      <c r="ES6" s="1" t="e">
        <f>IF('Maxi 1'!#REF!,"AAAAAGc195Q=",0)</f>
        <v>#REF!</v>
      </c>
      <c r="ET6" s="1" t="e">
        <f>AND('Maxi 1'!#REF!,"AAAAAGc195U=")</f>
        <v>#REF!</v>
      </c>
      <c r="EU6" s="1" t="e">
        <f>AND('Maxi 1'!#REF!,"AAAAAGc195Y=")</f>
        <v>#REF!</v>
      </c>
      <c r="EV6" s="1" t="e">
        <f>AND('Maxi 1'!#REF!,"AAAAAGc195c=")</f>
        <v>#REF!</v>
      </c>
      <c r="EW6" s="1" t="e">
        <f>AND('Maxi 1'!#REF!,"AAAAAGc195g=")</f>
        <v>#REF!</v>
      </c>
      <c r="EX6" s="1" t="e">
        <f>AND('Maxi 1'!#REF!,"AAAAAGc195k=")</f>
        <v>#REF!</v>
      </c>
      <c r="EY6" s="1" t="e">
        <f>AND('Maxi 1'!#REF!,"AAAAAGc195o=")</f>
        <v>#REF!</v>
      </c>
      <c r="EZ6" s="1" t="e">
        <f>AND('Maxi 1'!#REF!,"AAAAAGc195s=")</f>
        <v>#REF!</v>
      </c>
      <c r="FA6" s="1" t="e">
        <f>AND('Maxi 1'!#REF!,"AAAAAGc195w=")</f>
        <v>#REF!</v>
      </c>
      <c r="FB6" s="1" t="e">
        <f>AND('Maxi 1'!#REF!,"AAAAAGc1950=")</f>
        <v>#REF!</v>
      </c>
      <c r="FC6" s="1" t="e">
        <f>AND('Maxi 1'!#REF!,"AAAAAGc1954=")</f>
        <v>#REF!</v>
      </c>
      <c r="FD6" s="1" t="e">
        <f>AND('Maxi 1'!#REF!,"AAAAAGc1958=")</f>
        <v>#REF!</v>
      </c>
      <c r="FE6" s="1" t="e">
        <f>AND('Maxi 1'!#REF!,"AAAAAGc196A=")</f>
        <v>#REF!</v>
      </c>
      <c r="FF6" s="1" t="e">
        <f>AND('Maxi 1'!#REF!,"AAAAAGc196E=")</f>
        <v>#REF!</v>
      </c>
      <c r="FG6" s="1" t="e">
        <f>AND('Maxi 1'!#REF!,"AAAAAGc196I=")</f>
        <v>#REF!</v>
      </c>
      <c r="FH6" s="1" t="e">
        <f>AND('Maxi 1'!#REF!,"AAAAAGc196M=")</f>
        <v>#REF!</v>
      </c>
      <c r="FI6" s="1" t="e">
        <f>AND('Maxi 1'!#REF!,"AAAAAGc196Q=")</f>
        <v>#REF!</v>
      </c>
      <c r="FJ6" s="1" t="e">
        <f>AND('Maxi 1'!#REF!,"AAAAAGc196U=")</f>
        <v>#REF!</v>
      </c>
      <c r="FK6" s="1" t="e">
        <f>AND('Maxi 1'!#REF!,"AAAAAGc196Y=")</f>
        <v>#REF!</v>
      </c>
      <c r="FL6" s="1" t="e">
        <f>AND('Maxi 1'!#REF!,"AAAAAGc196c=")</f>
        <v>#REF!</v>
      </c>
      <c r="FM6" s="1" t="e">
        <f>AND('Maxi 1'!#REF!,"AAAAAGc196g=")</f>
        <v>#REF!</v>
      </c>
      <c r="FN6" s="1" t="e">
        <f>AND('Maxi 1'!#REF!,"AAAAAGc196k=")</f>
        <v>#REF!</v>
      </c>
      <c r="FO6" s="1" t="e">
        <f>AND('Maxi 1'!#REF!,"AAAAAGc196o=")</f>
        <v>#REF!</v>
      </c>
      <c r="FP6" s="1" t="e">
        <f>AND('Maxi 1'!#REF!,"AAAAAGc196s=")</f>
        <v>#REF!</v>
      </c>
      <c r="FQ6" s="1" t="e">
        <f>AND('Maxi 1'!#REF!,"AAAAAGc196w=")</f>
        <v>#REF!</v>
      </c>
      <c r="FR6" s="1" t="e">
        <f>AND('Maxi 1'!#REF!,"AAAAAGc1960=")</f>
        <v>#REF!</v>
      </c>
      <c r="FS6" s="1" t="e">
        <f>AND('Maxi 1'!#REF!,"AAAAAGc1964=")</f>
        <v>#REF!</v>
      </c>
      <c r="FT6" s="1" t="e">
        <f>AND('Maxi 1'!#REF!,"AAAAAGc1968=")</f>
        <v>#REF!</v>
      </c>
      <c r="FU6" s="1" t="e">
        <f>IF('Maxi 1'!#REF!,"AAAAAGc197A=",0)</f>
        <v>#REF!</v>
      </c>
      <c r="FV6" s="1" t="e">
        <f>AND('Maxi 1'!#REF!,"AAAAAGc197E=")</f>
        <v>#REF!</v>
      </c>
      <c r="FW6" s="1" t="e">
        <f>AND('Maxi 1'!#REF!,"AAAAAGc197I=")</f>
        <v>#REF!</v>
      </c>
      <c r="FX6" s="1" t="e">
        <f>AND('Maxi 1'!#REF!,"AAAAAGc197M=")</f>
        <v>#REF!</v>
      </c>
      <c r="FY6" s="1" t="e">
        <f>AND('Maxi 1'!#REF!,"AAAAAGc197Q=")</f>
        <v>#REF!</v>
      </c>
      <c r="FZ6" s="1" t="e">
        <f>AND('Maxi 1'!#REF!,"AAAAAGc197U=")</f>
        <v>#REF!</v>
      </c>
      <c r="GA6" s="1" t="e">
        <f>AND('Maxi 1'!#REF!,"AAAAAGc197Y=")</f>
        <v>#REF!</v>
      </c>
      <c r="GB6" s="1" t="e">
        <f>AND('Maxi 1'!#REF!,"AAAAAGc197c=")</f>
        <v>#REF!</v>
      </c>
      <c r="GC6" s="1" t="e">
        <f>AND('Maxi 1'!#REF!,"AAAAAGc197g=")</f>
        <v>#REF!</v>
      </c>
      <c r="GD6" s="1" t="e">
        <f>AND('Maxi 1'!#REF!,"AAAAAGc197k=")</f>
        <v>#REF!</v>
      </c>
      <c r="GE6" s="1" t="e">
        <f>AND('Maxi 1'!#REF!,"AAAAAGc197o=")</f>
        <v>#REF!</v>
      </c>
      <c r="GF6" s="1" t="e">
        <f>AND('Maxi 1'!#REF!,"AAAAAGc197s=")</f>
        <v>#REF!</v>
      </c>
      <c r="GG6" s="1" t="e">
        <f>AND('Maxi 1'!#REF!,"AAAAAGc197w=")</f>
        <v>#REF!</v>
      </c>
      <c r="GH6" s="1" t="e">
        <f>AND('Maxi 1'!#REF!,"AAAAAGc1970=")</f>
        <v>#REF!</v>
      </c>
      <c r="GI6" s="1" t="e">
        <f>AND('Maxi 1'!#REF!,"AAAAAGc1974=")</f>
        <v>#REF!</v>
      </c>
      <c r="GJ6" s="1" t="e">
        <f>AND('Maxi 1'!#REF!,"AAAAAGc1978=")</f>
        <v>#REF!</v>
      </c>
      <c r="GK6" s="1" t="e">
        <f>AND('Maxi 1'!#REF!,"AAAAAGc198A=")</f>
        <v>#REF!</v>
      </c>
      <c r="GL6" s="1" t="e">
        <f>AND('Maxi 1'!#REF!,"AAAAAGc198E=")</f>
        <v>#REF!</v>
      </c>
      <c r="GM6" s="1" t="e">
        <f>AND('Maxi 1'!#REF!,"AAAAAGc198I=")</f>
        <v>#REF!</v>
      </c>
      <c r="GN6" s="1" t="e">
        <f>AND('Maxi 1'!#REF!,"AAAAAGc198M=")</f>
        <v>#REF!</v>
      </c>
      <c r="GO6" s="1" t="e">
        <f>AND('Maxi 1'!#REF!,"AAAAAGc198Q=")</f>
        <v>#REF!</v>
      </c>
      <c r="GP6" s="1" t="e">
        <f>AND('Maxi 1'!#REF!,"AAAAAGc198U=")</f>
        <v>#REF!</v>
      </c>
      <c r="GQ6" s="1" t="e">
        <f>AND('Maxi 1'!#REF!,"AAAAAGc198Y=")</f>
        <v>#REF!</v>
      </c>
      <c r="GR6" s="1" t="e">
        <f>AND('Maxi 1'!#REF!,"AAAAAGc198c=")</f>
        <v>#REF!</v>
      </c>
      <c r="GS6" s="1" t="e">
        <f>AND('Maxi 1'!#REF!,"AAAAAGc198g=")</f>
        <v>#REF!</v>
      </c>
      <c r="GT6" s="1" t="e">
        <f>AND('Maxi 1'!#REF!,"AAAAAGc198k=")</f>
        <v>#REF!</v>
      </c>
      <c r="GU6" s="1" t="e">
        <f>AND('Maxi 1'!#REF!,"AAAAAGc198o=")</f>
        <v>#REF!</v>
      </c>
      <c r="GV6" s="1" t="e">
        <f>AND('Maxi 1'!#REF!,"AAAAAGc198s=")</f>
        <v>#REF!</v>
      </c>
      <c r="GW6" s="1" t="e">
        <f>IF('Maxi 1'!#REF!,"AAAAAGc198w=",0)</f>
        <v>#REF!</v>
      </c>
      <c r="GX6" s="1" t="e">
        <f>AND('Maxi 1'!#REF!,"AAAAAGc1980=")</f>
        <v>#REF!</v>
      </c>
      <c r="GY6" s="1" t="e">
        <f>AND('Maxi 1'!#REF!,"AAAAAGc1984=")</f>
        <v>#REF!</v>
      </c>
      <c r="GZ6" s="1" t="e">
        <f>AND('Maxi 1'!#REF!,"AAAAAGc1988=")</f>
        <v>#REF!</v>
      </c>
      <c r="HA6" s="1" t="e">
        <f>AND('Maxi 1'!#REF!,"AAAAAGc199A=")</f>
        <v>#REF!</v>
      </c>
      <c r="HB6" s="1" t="e">
        <f>AND('Maxi 1'!#REF!,"AAAAAGc199E=")</f>
        <v>#REF!</v>
      </c>
      <c r="HC6" s="1" t="e">
        <f>AND('Maxi 1'!#REF!,"AAAAAGc199I=")</f>
        <v>#REF!</v>
      </c>
      <c r="HD6" s="1" t="e">
        <f>AND('Maxi 1'!#REF!,"AAAAAGc199M=")</f>
        <v>#REF!</v>
      </c>
      <c r="HE6" s="1" t="e">
        <f>AND('Maxi 1'!#REF!,"AAAAAGc199Q=")</f>
        <v>#REF!</v>
      </c>
      <c r="HF6" s="1" t="e">
        <f>AND('Maxi 1'!#REF!,"AAAAAGc199U=")</f>
        <v>#REF!</v>
      </c>
      <c r="HG6" s="1" t="e">
        <f>AND('Maxi 1'!#REF!,"AAAAAGc199Y=")</f>
        <v>#REF!</v>
      </c>
      <c r="HH6" s="1" t="e">
        <f>AND('Maxi 1'!#REF!,"AAAAAGc199c=")</f>
        <v>#REF!</v>
      </c>
      <c r="HI6" s="1" t="e">
        <f>AND('Maxi 1'!#REF!,"AAAAAGc199g=")</f>
        <v>#REF!</v>
      </c>
      <c r="HJ6" s="1" t="e">
        <f>AND('Maxi 1'!#REF!,"AAAAAGc199k=")</f>
        <v>#REF!</v>
      </c>
      <c r="HK6" s="1" t="e">
        <f>AND('Maxi 1'!#REF!,"AAAAAGc199o=")</f>
        <v>#REF!</v>
      </c>
      <c r="HL6" s="1" t="e">
        <f>AND('Maxi 1'!#REF!,"AAAAAGc199s=")</f>
        <v>#REF!</v>
      </c>
      <c r="HM6" s="1" t="e">
        <f>AND('Maxi 1'!#REF!,"AAAAAGc199w=")</f>
        <v>#REF!</v>
      </c>
      <c r="HN6" s="1" t="e">
        <f>AND('Maxi 1'!#REF!,"AAAAAGc1990=")</f>
        <v>#REF!</v>
      </c>
      <c r="HO6" s="1" t="e">
        <f>AND('Maxi 1'!#REF!,"AAAAAGc1994=")</f>
        <v>#REF!</v>
      </c>
      <c r="HP6" s="1" t="e">
        <f>AND('Maxi 1'!#REF!,"AAAAAGc1998=")</f>
        <v>#REF!</v>
      </c>
      <c r="HQ6" s="1" t="e">
        <f>AND('Maxi 1'!#REF!,"AAAAAGc19+A=")</f>
        <v>#REF!</v>
      </c>
      <c r="HR6" s="1" t="e">
        <f>AND('Maxi 1'!#REF!,"AAAAAGc19+E=")</f>
        <v>#REF!</v>
      </c>
      <c r="HS6" s="1" t="e">
        <f>AND('Maxi 1'!#REF!,"AAAAAGc19+I=")</f>
        <v>#REF!</v>
      </c>
      <c r="HT6" s="1" t="e">
        <f>AND('Maxi 1'!#REF!,"AAAAAGc19+M=")</f>
        <v>#REF!</v>
      </c>
      <c r="HU6" s="1" t="e">
        <f>AND('Maxi 1'!#REF!,"AAAAAGc19+Q=")</f>
        <v>#REF!</v>
      </c>
      <c r="HV6" s="1" t="e">
        <f>AND('Maxi 1'!#REF!,"AAAAAGc19+U=")</f>
        <v>#REF!</v>
      </c>
      <c r="HW6" s="1" t="e">
        <f>AND('Maxi 1'!#REF!,"AAAAAGc19+Y=")</f>
        <v>#REF!</v>
      </c>
      <c r="HX6" s="1" t="e">
        <f>AND('Maxi 1'!#REF!,"AAAAAGc19+c=")</f>
        <v>#REF!</v>
      </c>
      <c r="HY6" s="1" t="e">
        <f>IF('Maxi 1'!#REF!,"AAAAAGc19+g=",0)</f>
        <v>#REF!</v>
      </c>
      <c r="HZ6" s="1" t="e">
        <f>AND('Maxi 1'!#REF!,"AAAAAGc19+k=")</f>
        <v>#REF!</v>
      </c>
      <c r="IA6" s="1" t="e">
        <f>AND('Maxi 1'!#REF!,"AAAAAGc19+o=")</f>
        <v>#REF!</v>
      </c>
      <c r="IB6" s="1" t="e">
        <f>AND('Maxi 1'!#REF!,"AAAAAGc19+s=")</f>
        <v>#REF!</v>
      </c>
      <c r="IC6" s="1" t="e">
        <f>AND('Maxi 1'!#REF!,"AAAAAGc19+w=")</f>
        <v>#REF!</v>
      </c>
      <c r="ID6" s="1" t="e">
        <f>AND('Maxi 1'!#REF!,"AAAAAGc19+0=")</f>
        <v>#REF!</v>
      </c>
      <c r="IE6" s="1" t="e">
        <f>AND('Maxi 1'!#REF!,"AAAAAGc19+4=")</f>
        <v>#REF!</v>
      </c>
      <c r="IF6" s="1" t="e">
        <f>AND('Maxi 1'!#REF!,"AAAAAGc19+8=")</f>
        <v>#REF!</v>
      </c>
      <c r="IG6" s="1" t="e">
        <f>AND('Maxi 1'!#REF!,"AAAAAGc19/A=")</f>
        <v>#REF!</v>
      </c>
      <c r="IH6" s="1" t="e">
        <f>AND('Maxi 1'!#REF!,"AAAAAGc19/E=")</f>
        <v>#REF!</v>
      </c>
      <c r="II6" s="1" t="e">
        <f>AND('Maxi 1'!#REF!,"AAAAAGc19/I=")</f>
        <v>#REF!</v>
      </c>
      <c r="IJ6" s="1" t="e">
        <f>AND('Maxi 1'!#REF!,"AAAAAGc19/M=")</f>
        <v>#REF!</v>
      </c>
      <c r="IK6" s="1" t="e">
        <f>AND('Maxi 1'!#REF!,"AAAAAGc19/Q=")</f>
        <v>#REF!</v>
      </c>
      <c r="IL6" s="1" t="e">
        <f>AND('Maxi 1'!#REF!,"AAAAAGc19/U=")</f>
        <v>#REF!</v>
      </c>
      <c r="IM6" s="1" t="e">
        <f>AND('Maxi 1'!#REF!,"AAAAAGc19/Y=")</f>
        <v>#REF!</v>
      </c>
      <c r="IN6" s="1" t="e">
        <f>AND('Maxi 1'!#REF!,"AAAAAGc19/c=")</f>
        <v>#REF!</v>
      </c>
      <c r="IO6" s="1" t="e">
        <f>AND('Maxi 1'!#REF!,"AAAAAGc19/g=")</f>
        <v>#REF!</v>
      </c>
      <c r="IP6" s="1" t="e">
        <f>AND('Maxi 1'!#REF!,"AAAAAGc19/k=")</f>
        <v>#REF!</v>
      </c>
      <c r="IQ6" s="1" t="e">
        <f>AND('Maxi 1'!#REF!,"AAAAAGc19/o=")</f>
        <v>#REF!</v>
      </c>
      <c r="IR6" s="1" t="e">
        <f>AND('Maxi 1'!#REF!,"AAAAAGc19/s=")</f>
        <v>#REF!</v>
      </c>
      <c r="IS6" s="1" t="e">
        <f>AND('Maxi 1'!#REF!,"AAAAAGc19/w=")</f>
        <v>#REF!</v>
      </c>
      <c r="IT6" s="1" t="e">
        <f>AND('Maxi 1'!#REF!,"AAAAAGc19/0=")</f>
        <v>#REF!</v>
      </c>
      <c r="IU6" s="1" t="e">
        <f>AND('Maxi 1'!#REF!,"AAAAAGc19/4=")</f>
        <v>#REF!</v>
      </c>
      <c r="IV6" s="1" t="e">
        <f>AND('Maxi 1'!#REF!,"AAAAAGc19/8=")</f>
        <v>#REF!</v>
      </c>
    </row>
    <row r="7" spans="1:256" ht="15" customHeight="1" x14ac:dyDescent="0.2">
      <c r="A7" s="1" t="e">
        <f>AND('Maxi 1'!#REF!,"AAAAADvztwA=")</f>
        <v>#REF!</v>
      </c>
      <c r="B7" s="1" t="e">
        <f>AND('Maxi 1'!#REF!,"AAAAADvztwE=")</f>
        <v>#REF!</v>
      </c>
      <c r="C7" s="1" t="e">
        <f>AND('Maxi 1'!#REF!,"AAAAADvztwI=")</f>
        <v>#REF!</v>
      </c>
      <c r="D7" s="1" t="e">
        <f>AND('Maxi 1'!#REF!,"AAAAADvztwM=")</f>
        <v>#REF!</v>
      </c>
      <c r="E7" s="1" t="e">
        <f>IF('Maxi 1'!#REF!,"AAAAADvztwQ=",0)</f>
        <v>#REF!</v>
      </c>
      <c r="F7" s="1" t="e">
        <f>AND('Maxi 1'!#REF!,"AAAAADvztwU=")</f>
        <v>#REF!</v>
      </c>
      <c r="G7" s="1" t="e">
        <f>AND('Maxi 1'!#REF!,"AAAAADvztwY=")</f>
        <v>#REF!</v>
      </c>
      <c r="H7" s="1" t="e">
        <f>AND('Maxi 1'!#REF!,"AAAAADvztwc=")</f>
        <v>#REF!</v>
      </c>
      <c r="I7" s="1" t="e">
        <f>AND('Maxi 1'!#REF!,"AAAAADvztwg=")</f>
        <v>#REF!</v>
      </c>
      <c r="J7" s="1" t="e">
        <f>AND('Maxi 1'!#REF!,"AAAAADvztwk=")</f>
        <v>#REF!</v>
      </c>
      <c r="K7" s="1" t="e">
        <f>AND('Maxi 1'!#REF!,"AAAAADvztwo=")</f>
        <v>#REF!</v>
      </c>
      <c r="L7" s="1" t="e">
        <f>AND('Maxi 1'!#REF!,"AAAAADvztws=")</f>
        <v>#REF!</v>
      </c>
      <c r="M7" s="1" t="e">
        <f>AND('Maxi 1'!#REF!,"AAAAADvztww=")</f>
        <v>#REF!</v>
      </c>
      <c r="N7" s="1" t="e">
        <f>AND('Maxi 1'!#REF!,"AAAAADvztw0=")</f>
        <v>#REF!</v>
      </c>
      <c r="O7" s="1" t="e">
        <f>AND('Maxi 1'!#REF!,"AAAAADvztw4=")</f>
        <v>#REF!</v>
      </c>
      <c r="P7" s="1" t="e">
        <f>AND('Maxi 1'!#REF!,"AAAAADvztw8=")</f>
        <v>#REF!</v>
      </c>
      <c r="Q7" s="1" t="e">
        <f>AND('Maxi 1'!#REF!,"AAAAADvztxA=")</f>
        <v>#REF!</v>
      </c>
      <c r="R7" s="1" t="e">
        <f>AND('Maxi 1'!#REF!,"AAAAADvztxE=")</f>
        <v>#REF!</v>
      </c>
      <c r="S7" s="1" t="e">
        <f>AND('Maxi 1'!#REF!,"AAAAADvztxI=")</f>
        <v>#REF!</v>
      </c>
      <c r="T7" s="1" t="e">
        <f>AND('Maxi 1'!#REF!,"AAAAADvztxM=")</f>
        <v>#REF!</v>
      </c>
      <c r="U7" s="1" t="e">
        <f>AND('Maxi 1'!#REF!,"AAAAADvztxQ=")</f>
        <v>#REF!</v>
      </c>
      <c r="V7" s="1" t="e">
        <f>AND('Maxi 1'!#REF!,"AAAAADvztxU=")</f>
        <v>#REF!</v>
      </c>
      <c r="W7" s="1" t="e">
        <f>AND('Maxi 1'!#REF!,"AAAAADvztxY=")</f>
        <v>#REF!</v>
      </c>
      <c r="X7" s="1" t="e">
        <f>AND('Maxi 1'!#REF!,"AAAAADvztxc=")</f>
        <v>#REF!</v>
      </c>
      <c r="Y7" s="1" t="e">
        <f>AND('Maxi 1'!#REF!,"AAAAADvztxg=")</f>
        <v>#REF!</v>
      </c>
      <c r="Z7" s="1" t="e">
        <f>AND('Maxi 1'!#REF!,"AAAAADvztxk=")</f>
        <v>#REF!</v>
      </c>
      <c r="AA7" s="1" t="e">
        <f>AND('Maxi 1'!#REF!,"AAAAADvztxo=")</f>
        <v>#REF!</v>
      </c>
      <c r="AB7" s="1" t="e">
        <f>AND('Maxi 1'!#REF!,"AAAAADvztxs=")</f>
        <v>#REF!</v>
      </c>
      <c r="AC7" s="1" t="e">
        <f>AND('Maxi 1'!#REF!,"AAAAADvztxw=")</f>
        <v>#REF!</v>
      </c>
      <c r="AD7" s="1" t="e">
        <f>AND('Maxi 1'!#REF!,"AAAAADvztx0=")</f>
        <v>#REF!</v>
      </c>
      <c r="AE7" s="1" t="e">
        <f>AND('Maxi 1'!#REF!,"AAAAADvztx4=")</f>
        <v>#REF!</v>
      </c>
      <c r="AF7" s="1" t="e">
        <f>AND('Maxi 1'!#REF!,"AAAAADvztx8=")</f>
        <v>#REF!</v>
      </c>
      <c r="AG7" s="1" t="e">
        <f>IF('Maxi 1'!#REF!,"AAAAADvztyA=",0)</f>
        <v>#REF!</v>
      </c>
      <c r="AH7" s="1" t="e">
        <f>AND('Maxi 1'!#REF!,"AAAAADvztyE=")</f>
        <v>#REF!</v>
      </c>
      <c r="AI7" s="1" t="e">
        <f>AND('Maxi 1'!#REF!,"AAAAADvztyI=")</f>
        <v>#REF!</v>
      </c>
      <c r="AJ7" s="1" t="e">
        <f>AND('Maxi 1'!#REF!,"AAAAADvztyM=")</f>
        <v>#REF!</v>
      </c>
      <c r="AK7" s="1" t="e">
        <f>AND('Maxi 1'!#REF!,"AAAAADvztyQ=")</f>
        <v>#REF!</v>
      </c>
      <c r="AL7" s="1" t="e">
        <f>AND('Maxi 1'!#REF!,"AAAAADvztyU=")</f>
        <v>#REF!</v>
      </c>
      <c r="AM7" s="1" t="e">
        <f>AND('Maxi 1'!#REF!,"AAAAADvztyY=")</f>
        <v>#REF!</v>
      </c>
      <c r="AN7" s="1" t="e">
        <f>AND('Maxi 1'!#REF!,"AAAAADvztyc=")</f>
        <v>#REF!</v>
      </c>
      <c r="AO7" s="1" t="e">
        <f>AND('Maxi 1'!#REF!,"AAAAADvztyg=")</f>
        <v>#REF!</v>
      </c>
      <c r="AP7" s="1" t="e">
        <f>AND('Maxi 1'!#REF!,"AAAAADvztyk=")</f>
        <v>#REF!</v>
      </c>
      <c r="AQ7" s="1" t="e">
        <f>AND('Maxi 1'!#REF!,"AAAAADvztyo=")</f>
        <v>#REF!</v>
      </c>
      <c r="AR7" s="1" t="e">
        <f>AND('Maxi 1'!#REF!,"AAAAADvztys=")</f>
        <v>#REF!</v>
      </c>
      <c r="AS7" s="1" t="e">
        <f>AND('Maxi 1'!#REF!,"AAAAADvztyw=")</f>
        <v>#REF!</v>
      </c>
      <c r="AT7" s="1" t="e">
        <f>AND('Maxi 1'!#REF!,"AAAAADvzty0=")</f>
        <v>#REF!</v>
      </c>
      <c r="AU7" s="1" t="e">
        <f>AND('Maxi 1'!#REF!,"AAAAADvzty4=")</f>
        <v>#REF!</v>
      </c>
      <c r="AV7" s="1" t="e">
        <f>AND('Maxi 1'!#REF!,"AAAAADvzty8=")</f>
        <v>#REF!</v>
      </c>
      <c r="AW7" s="1" t="e">
        <f>AND('Maxi 1'!#REF!,"AAAAADvztzA=")</f>
        <v>#REF!</v>
      </c>
      <c r="AX7" s="1" t="e">
        <f>AND('Maxi 1'!#REF!,"AAAAADvztzE=")</f>
        <v>#REF!</v>
      </c>
      <c r="AY7" s="1" t="e">
        <f>AND('Maxi 1'!#REF!,"AAAAADvztzI=")</f>
        <v>#REF!</v>
      </c>
      <c r="AZ7" s="1" t="e">
        <f>AND('Maxi 1'!#REF!,"AAAAADvztzM=")</f>
        <v>#REF!</v>
      </c>
      <c r="BA7" s="1" t="e">
        <f>AND('Maxi 1'!#REF!,"AAAAADvztzQ=")</f>
        <v>#REF!</v>
      </c>
      <c r="BB7" s="1" t="e">
        <f>AND('Maxi 1'!#REF!,"AAAAADvztzU=")</f>
        <v>#REF!</v>
      </c>
      <c r="BC7" s="1" t="e">
        <f>AND('Maxi 1'!#REF!,"AAAAADvztzY=")</f>
        <v>#REF!</v>
      </c>
      <c r="BD7" s="1" t="e">
        <f>AND('Maxi 1'!#REF!,"AAAAADvztzc=")</f>
        <v>#REF!</v>
      </c>
      <c r="BE7" s="1" t="e">
        <f>AND('Maxi 1'!#REF!,"AAAAADvztzg=")</f>
        <v>#REF!</v>
      </c>
      <c r="BF7" s="1" t="e">
        <f>AND('Maxi 1'!#REF!,"AAAAADvztzk=")</f>
        <v>#REF!</v>
      </c>
      <c r="BG7" s="1" t="e">
        <f>AND('Maxi 1'!#REF!,"AAAAADvztzo=")</f>
        <v>#REF!</v>
      </c>
      <c r="BH7" s="1" t="e">
        <f>AND('Maxi 1'!#REF!,"AAAAADvztzs=")</f>
        <v>#REF!</v>
      </c>
      <c r="BI7" s="1" t="e">
        <f>IF('Maxi 1'!#REF!,"AAAAADvztzw=",0)</f>
        <v>#REF!</v>
      </c>
      <c r="BJ7" s="1" t="e">
        <f>AND('Maxi 1'!#REF!,"AAAAADvztz0=")</f>
        <v>#REF!</v>
      </c>
      <c r="BK7" s="1" t="e">
        <f>AND('Maxi 1'!#REF!,"AAAAADvztz4=")</f>
        <v>#REF!</v>
      </c>
      <c r="BL7" s="1" t="e">
        <f>AND('Maxi 1'!#REF!,"AAAAADvztz8=")</f>
        <v>#REF!</v>
      </c>
      <c r="BM7" s="1" t="e">
        <f>AND('Maxi 1'!#REF!,"AAAAADvzt0A=")</f>
        <v>#REF!</v>
      </c>
      <c r="BN7" s="1" t="e">
        <f>AND('Maxi 1'!#REF!,"AAAAADvzt0E=")</f>
        <v>#REF!</v>
      </c>
      <c r="BO7" s="1" t="e">
        <f>AND('Maxi 1'!#REF!,"AAAAADvzt0I=")</f>
        <v>#REF!</v>
      </c>
      <c r="BP7" s="1" t="e">
        <f>AND('Maxi 1'!#REF!,"AAAAADvzt0M=")</f>
        <v>#REF!</v>
      </c>
      <c r="BQ7" s="1" t="e">
        <f>AND('Maxi 1'!#REF!,"AAAAADvzt0Q=")</f>
        <v>#REF!</v>
      </c>
      <c r="BR7" s="1" t="e">
        <f>AND('Maxi 1'!#REF!,"AAAAADvzt0U=")</f>
        <v>#REF!</v>
      </c>
      <c r="BS7" s="1" t="e">
        <f>AND('Maxi 1'!#REF!,"AAAAADvzt0Y=")</f>
        <v>#REF!</v>
      </c>
      <c r="BT7" s="1" t="e">
        <f>AND('Maxi 1'!#REF!,"AAAAADvzt0c=")</f>
        <v>#REF!</v>
      </c>
      <c r="BU7" s="1" t="e">
        <f>AND('Maxi 1'!#REF!,"AAAAADvzt0g=")</f>
        <v>#REF!</v>
      </c>
      <c r="BV7" s="1" t="e">
        <f>AND('Maxi 1'!#REF!,"AAAAADvzt0k=")</f>
        <v>#REF!</v>
      </c>
      <c r="BW7" s="1" t="e">
        <f>AND('Maxi 1'!#REF!,"AAAAADvzt0o=")</f>
        <v>#REF!</v>
      </c>
      <c r="BX7" s="1" t="e">
        <f>AND('Maxi 1'!#REF!,"AAAAADvzt0s=")</f>
        <v>#REF!</v>
      </c>
      <c r="BY7" s="1" t="e">
        <f>AND('Maxi 1'!#REF!,"AAAAADvzt0w=")</f>
        <v>#REF!</v>
      </c>
      <c r="BZ7" s="1" t="e">
        <f>AND('Maxi 1'!#REF!,"AAAAADvzt00=")</f>
        <v>#REF!</v>
      </c>
      <c r="CA7" s="1" t="e">
        <f>AND('Maxi 1'!#REF!,"AAAAADvzt04=")</f>
        <v>#REF!</v>
      </c>
      <c r="CB7" s="1" t="e">
        <f>AND('Maxi 1'!#REF!,"AAAAADvzt08=")</f>
        <v>#REF!</v>
      </c>
      <c r="CC7" s="1" t="e">
        <f>AND('Maxi 1'!#REF!,"AAAAADvzt1A=")</f>
        <v>#REF!</v>
      </c>
      <c r="CD7" s="1" t="e">
        <f>AND('Maxi 1'!#REF!,"AAAAADvzt1E=")</f>
        <v>#REF!</v>
      </c>
      <c r="CE7" s="1" t="e">
        <f>AND('Maxi 1'!#REF!,"AAAAADvzt1I=")</f>
        <v>#REF!</v>
      </c>
      <c r="CF7" s="1" t="e">
        <f>AND('Maxi 1'!#REF!,"AAAAADvzt1M=")</f>
        <v>#REF!</v>
      </c>
      <c r="CG7" s="1" t="e">
        <f>AND('Maxi 1'!#REF!,"AAAAADvzt1Q=")</f>
        <v>#REF!</v>
      </c>
      <c r="CH7" s="1" t="e">
        <f>AND('Maxi 1'!#REF!,"AAAAADvzt1U=")</f>
        <v>#REF!</v>
      </c>
      <c r="CI7" s="1" t="e">
        <f>AND('Maxi 1'!#REF!,"AAAAADvzt1Y=")</f>
        <v>#REF!</v>
      </c>
      <c r="CJ7" s="1" t="e">
        <f>AND('Maxi 1'!#REF!,"AAAAADvzt1c=")</f>
        <v>#REF!</v>
      </c>
      <c r="CK7" s="1" t="e">
        <f>IF('Maxi 1'!#REF!,"AAAAADvzt1g=",0)</f>
        <v>#REF!</v>
      </c>
      <c r="CL7" s="1" t="e">
        <f>AND('Maxi 1'!#REF!,"AAAAADvzt1k=")</f>
        <v>#REF!</v>
      </c>
      <c r="CM7" s="1" t="e">
        <f>AND('Maxi 1'!#REF!,"AAAAADvzt1o=")</f>
        <v>#REF!</v>
      </c>
      <c r="CN7" s="1" t="e">
        <f>AND('Maxi 1'!#REF!,"AAAAADvzt1s=")</f>
        <v>#REF!</v>
      </c>
      <c r="CO7" s="1" t="e">
        <f>AND('Maxi 1'!#REF!,"AAAAADvzt1w=")</f>
        <v>#REF!</v>
      </c>
      <c r="CP7" s="1" t="e">
        <f>AND('Maxi 1'!#REF!,"AAAAADvzt10=")</f>
        <v>#REF!</v>
      </c>
      <c r="CQ7" s="1" t="e">
        <f>AND('Maxi 1'!#REF!,"AAAAADvzt14=")</f>
        <v>#REF!</v>
      </c>
      <c r="CR7" s="1" t="e">
        <f>AND('Maxi 1'!#REF!,"AAAAADvzt18=")</f>
        <v>#REF!</v>
      </c>
      <c r="CS7" s="1" t="e">
        <f>AND('Maxi 1'!#REF!,"AAAAADvzt2A=")</f>
        <v>#REF!</v>
      </c>
      <c r="CT7" s="1" t="e">
        <f>AND('Maxi 1'!#REF!,"AAAAADvzt2E=")</f>
        <v>#REF!</v>
      </c>
      <c r="CU7" s="1" t="e">
        <f>AND('Maxi 1'!#REF!,"AAAAADvzt2I=")</f>
        <v>#REF!</v>
      </c>
      <c r="CV7" s="1" t="e">
        <f>AND('Maxi 1'!#REF!,"AAAAADvzt2M=")</f>
        <v>#REF!</v>
      </c>
      <c r="CW7" s="1" t="e">
        <f>AND('Maxi 1'!#REF!,"AAAAADvzt2Q=")</f>
        <v>#REF!</v>
      </c>
      <c r="CX7" s="1" t="e">
        <f>AND('Maxi 1'!#REF!,"AAAAADvzt2U=")</f>
        <v>#REF!</v>
      </c>
      <c r="CY7" s="1" t="e">
        <f>AND('Maxi 1'!#REF!,"AAAAADvzt2Y=")</f>
        <v>#REF!</v>
      </c>
      <c r="CZ7" s="1" t="e">
        <f>AND('Maxi 1'!#REF!,"AAAAADvzt2c=")</f>
        <v>#REF!</v>
      </c>
      <c r="DA7" s="1" t="e">
        <f>AND('Maxi 1'!#REF!,"AAAAADvzt2g=")</f>
        <v>#REF!</v>
      </c>
      <c r="DB7" s="1" t="e">
        <f>AND('Maxi 1'!#REF!,"AAAAADvzt2k=")</f>
        <v>#REF!</v>
      </c>
      <c r="DC7" s="1" t="e">
        <f>AND('Maxi 1'!#REF!,"AAAAADvzt2o=")</f>
        <v>#REF!</v>
      </c>
      <c r="DD7" s="1" t="e">
        <f>AND('Maxi 1'!#REF!,"AAAAADvzt2s=")</f>
        <v>#REF!</v>
      </c>
      <c r="DE7" s="1" t="e">
        <f>AND('Maxi 1'!#REF!,"AAAAADvzt2w=")</f>
        <v>#REF!</v>
      </c>
      <c r="DF7" s="1" t="e">
        <f>AND('Maxi 1'!#REF!,"AAAAADvzt20=")</f>
        <v>#REF!</v>
      </c>
      <c r="DG7" s="1" t="e">
        <f>AND('Maxi 1'!#REF!,"AAAAADvzt24=")</f>
        <v>#REF!</v>
      </c>
      <c r="DH7" s="1" t="e">
        <f>AND('Maxi 1'!#REF!,"AAAAADvzt28=")</f>
        <v>#REF!</v>
      </c>
      <c r="DI7" s="1" t="e">
        <f>AND('Maxi 1'!#REF!,"AAAAADvzt3A=")</f>
        <v>#REF!</v>
      </c>
      <c r="DJ7" s="1" t="e">
        <f>AND('Maxi 1'!#REF!,"AAAAADvzt3E=")</f>
        <v>#REF!</v>
      </c>
      <c r="DK7" s="1" t="e">
        <f>AND('Maxi 1'!#REF!,"AAAAADvzt3I=")</f>
        <v>#REF!</v>
      </c>
      <c r="DL7" s="1" t="e">
        <f>AND('Maxi 1'!#REF!,"AAAAADvzt3M=")</f>
        <v>#REF!</v>
      </c>
      <c r="DM7" s="1" t="e">
        <f>IF('Maxi 1'!#REF!,"AAAAADvzt3Q=",0)</f>
        <v>#REF!</v>
      </c>
      <c r="DN7" s="1" t="e">
        <f>AND('Maxi 1'!#REF!,"AAAAADvzt3U=")</f>
        <v>#REF!</v>
      </c>
      <c r="DO7" s="1" t="e">
        <f>AND('Maxi 1'!#REF!,"AAAAADvzt3Y=")</f>
        <v>#REF!</v>
      </c>
      <c r="DP7" s="1" t="e">
        <f>AND('Maxi 1'!#REF!,"AAAAADvzt3c=")</f>
        <v>#REF!</v>
      </c>
      <c r="DQ7" s="1" t="e">
        <f>AND('Maxi 1'!#REF!,"AAAAADvzt3g=")</f>
        <v>#REF!</v>
      </c>
      <c r="DR7" s="1" t="e">
        <f>AND('Maxi 1'!#REF!,"AAAAADvzt3k=")</f>
        <v>#REF!</v>
      </c>
      <c r="DS7" s="1" t="e">
        <f>AND('Maxi 1'!#REF!,"AAAAADvzt3o=")</f>
        <v>#REF!</v>
      </c>
      <c r="DT7" s="1" t="e">
        <f>AND('Maxi 1'!#REF!,"AAAAADvzt3s=")</f>
        <v>#REF!</v>
      </c>
      <c r="DU7" s="1" t="e">
        <f>AND('Maxi 1'!#REF!,"AAAAADvzt3w=")</f>
        <v>#REF!</v>
      </c>
      <c r="DV7" s="1" t="e">
        <f>AND('Maxi 1'!#REF!,"AAAAADvzt30=")</f>
        <v>#REF!</v>
      </c>
      <c r="DW7" s="1" t="e">
        <f>AND('Maxi 1'!#REF!,"AAAAADvzt34=")</f>
        <v>#REF!</v>
      </c>
      <c r="DX7" s="1" t="e">
        <f>AND('Maxi 1'!#REF!,"AAAAADvzt38=")</f>
        <v>#REF!</v>
      </c>
      <c r="DY7" s="1" t="e">
        <f>AND('Maxi 1'!#REF!,"AAAAADvzt4A=")</f>
        <v>#REF!</v>
      </c>
      <c r="DZ7" s="1" t="e">
        <f>AND('Maxi 1'!#REF!,"AAAAADvzt4E=")</f>
        <v>#REF!</v>
      </c>
      <c r="EA7" s="1" t="e">
        <f>AND('Maxi 1'!#REF!,"AAAAADvzt4I=")</f>
        <v>#REF!</v>
      </c>
      <c r="EB7" s="1" t="e">
        <f>AND('Maxi 1'!#REF!,"AAAAADvzt4M=")</f>
        <v>#REF!</v>
      </c>
      <c r="EC7" s="1" t="e">
        <f>AND('Maxi 1'!#REF!,"AAAAADvzt4Q=")</f>
        <v>#REF!</v>
      </c>
      <c r="ED7" s="1" t="e">
        <f>AND('Maxi 1'!#REF!,"AAAAADvzt4U=")</f>
        <v>#REF!</v>
      </c>
      <c r="EE7" s="1" t="e">
        <f>AND('Maxi 1'!#REF!,"AAAAADvzt4Y=")</f>
        <v>#REF!</v>
      </c>
      <c r="EF7" s="1" t="e">
        <f>AND('Maxi 1'!#REF!,"AAAAADvzt4c=")</f>
        <v>#REF!</v>
      </c>
      <c r="EG7" s="1" t="e">
        <f>AND('Maxi 1'!#REF!,"AAAAADvzt4g=")</f>
        <v>#REF!</v>
      </c>
      <c r="EH7" s="1" t="e">
        <f>AND('Maxi 1'!#REF!,"AAAAADvzt4k=")</f>
        <v>#REF!</v>
      </c>
      <c r="EI7" s="1" t="e">
        <f>AND('Maxi 1'!#REF!,"AAAAADvzt4o=")</f>
        <v>#REF!</v>
      </c>
      <c r="EJ7" s="1" t="e">
        <f>AND('Maxi 1'!#REF!,"AAAAADvzt4s=")</f>
        <v>#REF!</v>
      </c>
      <c r="EK7" s="1" t="e">
        <f>AND('Maxi 1'!#REF!,"AAAAADvzt4w=")</f>
        <v>#REF!</v>
      </c>
      <c r="EL7" s="1" t="e">
        <f>AND('Maxi 1'!#REF!,"AAAAADvzt40=")</f>
        <v>#REF!</v>
      </c>
      <c r="EM7" s="1" t="e">
        <f>AND('Maxi 1'!#REF!,"AAAAADvzt44=")</f>
        <v>#REF!</v>
      </c>
      <c r="EN7" s="1" t="e">
        <f>AND('Maxi 1'!#REF!,"AAAAADvzt48=")</f>
        <v>#REF!</v>
      </c>
      <c r="EO7" s="1">
        <f>IF('Maxi 1'!15:15,"AAAAADvzt5A=",0)</f>
        <v>0</v>
      </c>
      <c r="EP7" s="1" t="e">
        <f>AND('Maxi 1'!A15,"AAAAADvzt5E=")</f>
        <v>#VALUE!</v>
      </c>
      <c r="EQ7" s="1" t="e">
        <f>AND('Maxi 1'!B15,"AAAAADvzt5I=")</f>
        <v>#VALUE!</v>
      </c>
      <c r="ER7" s="1" t="e">
        <f>AND('Maxi 1'!C15,"AAAAADvzt5M=")</f>
        <v>#VALUE!</v>
      </c>
      <c r="ES7" s="1" t="e">
        <f>AND('Maxi 1'!D15,"AAAAADvzt5Q=")</f>
        <v>#VALUE!</v>
      </c>
      <c r="ET7" s="1" t="e">
        <f>AND('Maxi 1'!E15,"AAAAADvzt5U=")</f>
        <v>#VALUE!</v>
      </c>
      <c r="EU7" s="1" t="e">
        <f>AND('Maxi 1'!F15,"AAAAADvzt5Y=")</f>
        <v>#VALUE!</v>
      </c>
      <c r="EV7" s="1" t="e">
        <f>AND('Maxi 1'!G15,"AAAAADvzt5c=")</f>
        <v>#VALUE!</v>
      </c>
      <c r="EW7" s="1" t="e">
        <f>AND('Maxi 1'!H15,"AAAAADvzt5g=")</f>
        <v>#VALUE!</v>
      </c>
      <c r="EX7" s="1" t="e">
        <f>AND('Maxi 1'!I15,"AAAAADvzt5k=")</f>
        <v>#VALUE!</v>
      </c>
      <c r="EY7" s="1" t="e">
        <f>AND('Maxi 1'!J15,"AAAAADvzt5o=")</f>
        <v>#VALUE!</v>
      </c>
      <c r="EZ7" s="1" t="e">
        <f>AND('Maxi 1'!K15,"AAAAADvzt5s=")</f>
        <v>#VALUE!</v>
      </c>
      <c r="FA7" s="1" t="e">
        <f>AND('Maxi 1'!L15,"AAAAADvzt5w=")</f>
        <v>#VALUE!</v>
      </c>
      <c r="FB7" s="1" t="e">
        <f>AND('Maxi 1'!M15,"AAAAADvzt50=")</f>
        <v>#VALUE!</v>
      </c>
      <c r="FC7" s="1" t="e">
        <f>AND('Maxi 1'!N15,"AAAAADvzt54=")</f>
        <v>#VALUE!</v>
      </c>
      <c r="FD7" s="1" t="e">
        <f>AND('Maxi 1'!O15,"AAAAADvzt58=")</f>
        <v>#VALUE!</v>
      </c>
      <c r="FE7" s="1" t="e">
        <f>AND('Maxi 1'!P15,"AAAAADvzt6A=")</f>
        <v>#VALUE!</v>
      </c>
      <c r="FF7" s="1" t="e">
        <f>AND('Maxi 1'!Q15,"AAAAADvzt6E=")</f>
        <v>#VALUE!</v>
      </c>
      <c r="FG7" s="1" t="e">
        <f>AND('Maxi 1'!R15,"AAAAADvzt6I=")</f>
        <v>#VALUE!</v>
      </c>
      <c r="FH7" s="1" t="e">
        <f>AND('Maxi 1'!S15,"AAAAADvzt6M=")</f>
        <v>#VALUE!</v>
      </c>
      <c r="FI7" s="1" t="e">
        <f>AND('Maxi 1'!T15,"AAAAADvzt6Q=")</f>
        <v>#VALUE!</v>
      </c>
      <c r="FJ7" s="1" t="e">
        <f>AND('Maxi 1'!U15,"AAAAADvzt6U=")</f>
        <v>#VALUE!</v>
      </c>
      <c r="FK7" s="1" t="e">
        <f>AND('Maxi 1'!V15,"AAAAADvzt6Y=")</f>
        <v>#VALUE!</v>
      </c>
      <c r="FL7" s="1" t="e">
        <f>AND('Maxi 1'!W15,"AAAAADvzt6c=")</f>
        <v>#VALUE!</v>
      </c>
      <c r="FM7" s="1" t="e">
        <f>AND('Maxi 1'!X15,"AAAAADvzt6g=")</f>
        <v>#VALUE!</v>
      </c>
      <c r="FN7" s="1" t="e">
        <f>AND('Maxi 1'!Y15,"AAAAADvzt6k=")</f>
        <v>#VALUE!</v>
      </c>
      <c r="FO7" s="1" t="e">
        <f>AND('Maxi 1'!Z15,"AAAAADvzt6o=")</f>
        <v>#VALUE!</v>
      </c>
      <c r="FP7" s="1" t="e">
        <f>AND('Maxi 1'!AA15,"AAAAADvzt6s=")</f>
        <v>#VALUE!</v>
      </c>
      <c r="FQ7" s="1" t="e">
        <f>IF('Maxi 1'!#REF!,"AAAAADvzt6w=",0)</f>
        <v>#REF!</v>
      </c>
      <c r="FR7" s="1" t="e">
        <f>AND('Maxi 1'!#REF!,"AAAAADvzt60=")</f>
        <v>#REF!</v>
      </c>
      <c r="FS7" s="1" t="e">
        <f>AND('Maxi 1'!#REF!,"AAAAADvzt64=")</f>
        <v>#REF!</v>
      </c>
      <c r="FT7" s="1" t="e">
        <f>AND('Maxi 1'!#REF!,"AAAAADvzt68=")</f>
        <v>#REF!</v>
      </c>
      <c r="FU7" s="1" t="e">
        <f>AND('Maxi 1'!#REF!,"AAAAADvzt7A=")</f>
        <v>#REF!</v>
      </c>
      <c r="FV7" s="1" t="e">
        <f>AND('Maxi 1'!#REF!,"AAAAADvzt7E=")</f>
        <v>#REF!</v>
      </c>
      <c r="FW7" s="1" t="e">
        <f>AND('Maxi 1'!#REF!,"AAAAADvzt7I=")</f>
        <v>#REF!</v>
      </c>
      <c r="FX7" s="1" t="e">
        <f>AND('Maxi 1'!#REF!,"AAAAADvzt7M=")</f>
        <v>#REF!</v>
      </c>
      <c r="FY7" s="1" t="e">
        <f>AND('Maxi 1'!#REF!,"AAAAADvzt7Q=")</f>
        <v>#REF!</v>
      </c>
      <c r="FZ7" s="1" t="e">
        <f>AND('Maxi 1'!#REF!,"AAAAADvzt7U=")</f>
        <v>#REF!</v>
      </c>
      <c r="GA7" s="1" t="e">
        <f>AND('Maxi 1'!#REF!,"AAAAADvzt7Y=")</f>
        <v>#REF!</v>
      </c>
      <c r="GB7" s="1" t="e">
        <f>AND('Maxi 1'!#REF!,"AAAAADvzt7c=")</f>
        <v>#REF!</v>
      </c>
      <c r="GC7" s="1" t="e">
        <f>AND('Maxi 1'!#REF!,"AAAAADvzt7g=")</f>
        <v>#REF!</v>
      </c>
      <c r="GD7" s="1" t="e">
        <f>AND('Maxi 1'!#REF!,"AAAAADvzt7k=")</f>
        <v>#REF!</v>
      </c>
      <c r="GE7" s="1" t="e">
        <f>AND('Maxi 1'!#REF!,"AAAAADvzt7o=")</f>
        <v>#REF!</v>
      </c>
      <c r="GF7" s="1" t="e">
        <f>AND('Maxi 1'!#REF!,"AAAAADvzt7s=")</f>
        <v>#REF!</v>
      </c>
      <c r="GG7" s="1" t="e">
        <f>AND('Maxi 1'!#REF!,"AAAAADvzt7w=")</f>
        <v>#REF!</v>
      </c>
      <c r="GH7" s="1" t="e">
        <f>AND('Maxi 1'!#REF!,"AAAAADvzt70=")</f>
        <v>#REF!</v>
      </c>
      <c r="GI7" s="1" t="e">
        <f>AND('Maxi 1'!#REF!,"AAAAADvzt74=")</f>
        <v>#REF!</v>
      </c>
      <c r="GJ7" s="1" t="e">
        <f>AND('Maxi 1'!#REF!,"AAAAADvzt78=")</f>
        <v>#REF!</v>
      </c>
      <c r="GK7" s="1" t="e">
        <f>AND('Maxi 1'!#REF!,"AAAAADvzt8A=")</f>
        <v>#REF!</v>
      </c>
      <c r="GL7" s="1" t="e">
        <f>AND('Maxi 1'!#REF!,"AAAAADvzt8E=")</f>
        <v>#REF!</v>
      </c>
      <c r="GM7" s="1" t="e">
        <f>AND('Maxi 1'!#REF!,"AAAAADvzt8I=")</f>
        <v>#REF!</v>
      </c>
      <c r="GN7" s="1" t="e">
        <f>AND('Maxi 1'!#REF!,"AAAAADvzt8M=")</f>
        <v>#REF!</v>
      </c>
      <c r="GO7" s="1" t="e">
        <f>AND('Maxi 1'!#REF!,"AAAAADvzt8Q=")</f>
        <v>#REF!</v>
      </c>
      <c r="GP7" s="1" t="e">
        <f>AND('Maxi 1'!#REF!,"AAAAADvzt8U=")</f>
        <v>#REF!</v>
      </c>
      <c r="GQ7" s="1" t="e">
        <f>AND('Maxi 1'!#REF!,"AAAAADvzt8Y=")</f>
        <v>#REF!</v>
      </c>
      <c r="GR7" s="1" t="e">
        <f>AND('Maxi 1'!#REF!,"AAAAADvzt8c=")</f>
        <v>#REF!</v>
      </c>
      <c r="GS7" s="1" t="e">
        <f>IF('Maxi 1'!#REF!,"AAAAADvzt8g=",0)</f>
        <v>#REF!</v>
      </c>
      <c r="GT7" s="1" t="e">
        <f>AND('Maxi 1'!#REF!,"AAAAADvzt8k=")</f>
        <v>#REF!</v>
      </c>
      <c r="GU7" s="1" t="e">
        <f>AND('Maxi 1'!#REF!,"AAAAADvzt8o=")</f>
        <v>#REF!</v>
      </c>
      <c r="GV7" s="1" t="e">
        <f>AND('Maxi 1'!#REF!,"AAAAADvzt8s=")</f>
        <v>#REF!</v>
      </c>
      <c r="GW7" s="1" t="e">
        <f>AND('Maxi 1'!#REF!,"AAAAADvzt8w=")</f>
        <v>#REF!</v>
      </c>
      <c r="GX7" s="1" t="e">
        <f>AND('Maxi 1'!#REF!,"AAAAADvzt80=")</f>
        <v>#REF!</v>
      </c>
      <c r="GY7" s="1" t="e">
        <f>AND('Maxi 1'!#REF!,"AAAAADvzt84=")</f>
        <v>#REF!</v>
      </c>
      <c r="GZ7" s="1" t="e">
        <f>AND('Maxi 1'!#REF!,"AAAAADvzt88=")</f>
        <v>#REF!</v>
      </c>
      <c r="HA7" s="1" t="e">
        <f>AND('Maxi 1'!#REF!,"AAAAADvzt9A=")</f>
        <v>#REF!</v>
      </c>
      <c r="HB7" s="1" t="e">
        <f>AND('Maxi 1'!#REF!,"AAAAADvzt9E=")</f>
        <v>#REF!</v>
      </c>
      <c r="HC7" s="1" t="e">
        <f>AND('Maxi 1'!#REF!,"AAAAADvzt9I=")</f>
        <v>#REF!</v>
      </c>
      <c r="HD7" s="1" t="e">
        <f>AND('Maxi 1'!#REF!,"AAAAADvzt9M=")</f>
        <v>#REF!</v>
      </c>
      <c r="HE7" s="1" t="e">
        <f>AND('Maxi 1'!#REF!,"AAAAADvzt9Q=")</f>
        <v>#REF!</v>
      </c>
      <c r="HF7" s="1" t="e">
        <f>AND('Maxi 1'!#REF!,"AAAAADvzt9U=")</f>
        <v>#REF!</v>
      </c>
      <c r="HG7" s="1" t="e">
        <f>AND('Maxi 1'!#REF!,"AAAAADvzt9Y=")</f>
        <v>#REF!</v>
      </c>
      <c r="HH7" s="1" t="e">
        <f>AND('Maxi 1'!#REF!,"AAAAADvzt9c=")</f>
        <v>#REF!</v>
      </c>
      <c r="HI7" s="1" t="e">
        <f>AND('Maxi 1'!#REF!,"AAAAADvzt9g=")</f>
        <v>#REF!</v>
      </c>
      <c r="HJ7" s="1" t="e">
        <f>AND('Maxi 1'!#REF!,"AAAAADvzt9k=")</f>
        <v>#REF!</v>
      </c>
      <c r="HK7" s="1" t="e">
        <f>AND('Maxi 1'!#REF!,"AAAAADvzt9o=")</f>
        <v>#REF!</v>
      </c>
      <c r="HL7" s="1" t="e">
        <f>AND('Maxi 1'!#REF!,"AAAAADvzt9s=")</f>
        <v>#REF!</v>
      </c>
      <c r="HM7" s="1" t="e">
        <f>AND('Maxi 1'!#REF!,"AAAAADvzt9w=")</f>
        <v>#REF!</v>
      </c>
      <c r="HN7" s="1" t="e">
        <f>AND('Maxi 1'!#REF!,"AAAAADvzt90=")</f>
        <v>#REF!</v>
      </c>
      <c r="HO7" s="1" t="e">
        <f>AND('Maxi 1'!#REF!,"AAAAADvzt94=")</f>
        <v>#REF!</v>
      </c>
      <c r="HP7" s="1" t="e">
        <f>AND('Maxi 1'!#REF!,"AAAAADvzt98=")</f>
        <v>#REF!</v>
      </c>
      <c r="HQ7" s="1" t="e">
        <f>AND('Maxi 1'!#REF!,"AAAAADvzt+A=")</f>
        <v>#REF!</v>
      </c>
      <c r="HR7" s="1" t="e">
        <f>AND('Maxi 1'!#REF!,"AAAAADvzt+E=")</f>
        <v>#REF!</v>
      </c>
      <c r="HS7" s="1" t="e">
        <f>AND('Maxi 1'!#REF!,"AAAAADvzt+I=")</f>
        <v>#REF!</v>
      </c>
      <c r="HT7" s="1" t="e">
        <f>AND('Maxi 1'!#REF!,"AAAAADvzt+M=")</f>
        <v>#REF!</v>
      </c>
      <c r="HU7" s="1" t="e">
        <f>IF('Maxi 1'!#REF!,"AAAAADvzt+Q=",0)</f>
        <v>#REF!</v>
      </c>
      <c r="HV7" s="1" t="e">
        <f>AND('Maxi 1'!#REF!,"AAAAADvzt+U=")</f>
        <v>#REF!</v>
      </c>
      <c r="HW7" s="1" t="e">
        <f>AND('Maxi 1'!#REF!,"AAAAADvzt+Y=")</f>
        <v>#REF!</v>
      </c>
      <c r="HX7" s="1" t="e">
        <f>AND('Maxi 1'!#REF!,"AAAAADvzt+c=")</f>
        <v>#REF!</v>
      </c>
      <c r="HY7" s="1" t="e">
        <f>AND('Maxi 1'!#REF!,"AAAAADvzt+g=")</f>
        <v>#REF!</v>
      </c>
      <c r="HZ7" s="1" t="e">
        <f>AND('Maxi 1'!#REF!,"AAAAADvzt+k=")</f>
        <v>#REF!</v>
      </c>
      <c r="IA7" s="1" t="e">
        <f>AND('Maxi 1'!#REF!,"AAAAADvzt+o=")</f>
        <v>#REF!</v>
      </c>
      <c r="IB7" s="1" t="e">
        <f>AND('Maxi 1'!#REF!,"AAAAADvzt+s=")</f>
        <v>#REF!</v>
      </c>
      <c r="IC7" s="1" t="e">
        <f>AND('Maxi 1'!#REF!,"AAAAADvzt+w=")</f>
        <v>#REF!</v>
      </c>
      <c r="ID7" s="1" t="e">
        <f>AND('Maxi 1'!#REF!,"AAAAADvzt+0=")</f>
        <v>#REF!</v>
      </c>
      <c r="IE7" s="1" t="e">
        <f>AND('Maxi 1'!#REF!,"AAAAADvzt+4=")</f>
        <v>#REF!</v>
      </c>
      <c r="IF7" s="1" t="e">
        <f>AND('Maxi 1'!#REF!,"AAAAADvzt+8=")</f>
        <v>#REF!</v>
      </c>
      <c r="IG7" s="1" t="e">
        <f>AND('Maxi 1'!#REF!,"AAAAADvzt/A=")</f>
        <v>#REF!</v>
      </c>
      <c r="IH7" s="1" t="e">
        <f>AND('Maxi 1'!#REF!,"AAAAADvzt/E=")</f>
        <v>#REF!</v>
      </c>
      <c r="II7" s="1" t="e">
        <f>AND('Maxi 1'!#REF!,"AAAAADvzt/I=")</f>
        <v>#REF!</v>
      </c>
      <c r="IJ7" s="1" t="e">
        <f>AND('Maxi 1'!#REF!,"AAAAADvzt/M=")</f>
        <v>#REF!</v>
      </c>
      <c r="IK7" s="1" t="e">
        <f>AND('Maxi 1'!#REF!,"AAAAADvzt/Q=")</f>
        <v>#REF!</v>
      </c>
      <c r="IL7" s="1" t="e">
        <f>AND('Maxi 1'!#REF!,"AAAAADvzt/U=")</f>
        <v>#REF!</v>
      </c>
      <c r="IM7" s="1" t="e">
        <f>AND('Maxi 1'!#REF!,"AAAAADvzt/Y=")</f>
        <v>#REF!</v>
      </c>
      <c r="IN7" s="1" t="e">
        <f>AND('Maxi 1'!#REF!,"AAAAADvzt/c=")</f>
        <v>#REF!</v>
      </c>
      <c r="IO7" s="1" t="e">
        <f>AND('Maxi 1'!#REF!,"AAAAADvzt/g=")</f>
        <v>#REF!</v>
      </c>
      <c r="IP7" s="1" t="e">
        <f>AND('Maxi 1'!#REF!,"AAAAADvzt/k=")</f>
        <v>#REF!</v>
      </c>
      <c r="IQ7" s="1" t="e">
        <f>AND('Maxi 1'!#REF!,"AAAAADvzt/o=")</f>
        <v>#REF!</v>
      </c>
      <c r="IR7" s="1" t="e">
        <f>AND('Maxi 1'!#REF!,"AAAAADvzt/s=")</f>
        <v>#REF!</v>
      </c>
      <c r="IS7" s="1" t="e">
        <f>AND('Maxi 1'!#REF!,"AAAAADvzt/w=")</f>
        <v>#REF!</v>
      </c>
      <c r="IT7" s="1" t="e">
        <f>AND('Maxi 1'!#REF!,"AAAAADvzt/0=")</f>
        <v>#REF!</v>
      </c>
      <c r="IU7" s="1" t="e">
        <f>AND('Maxi 1'!#REF!,"AAAAADvzt/4=")</f>
        <v>#REF!</v>
      </c>
      <c r="IV7" s="1" t="e">
        <f>AND('Maxi 1'!#REF!,"AAAAADvzt/8=")</f>
        <v>#REF!</v>
      </c>
    </row>
    <row r="8" spans="1:256" ht="15" customHeight="1" x14ac:dyDescent="0.2">
      <c r="A8" s="1" t="e">
        <f>IF('Maxi 1'!#REF!,"AAAAAHnvXwA=",0)</f>
        <v>#REF!</v>
      </c>
      <c r="B8" s="1" t="e">
        <f>AND('Maxi 1'!#REF!,"AAAAAHnvXwE=")</f>
        <v>#REF!</v>
      </c>
      <c r="C8" s="1" t="e">
        <f>AND('Maxi 1'!#REF!,"AAAAAHnvXwI=")</f>
        <v>#REF!</v>
      </c>
      <c r="D8" s="1" t="e">
        <f>AND('Maxi 1'!#REF!,"AAAAAHnvXwM=")</f>
        <v>#REF!</v>
      </c>
      <c r="E8" s="1" t="e">
        <f>AND('Maxi 1'!#REF!,"AAAAAHnvXwQ=")</f>
        <v>#REF!</v>
      </c>
      <c r="F8" s="1" t="e">
        <f>AND('Maxi 1'!#REF!,"AAAAAHnvXwU=")</f>
        <v>#REF!</v>
      </c>
      <c r="G8" s="1" t="e">
        <f>AND('Maxi 1'!#REF!,"AAAAAHnvXwY=")</f>
        <v>#REF!</v>
      </c>
      <c r="H8" s="1" t="e">
        <f>AND('Maxi 1'!#REF!,"AAAAAHnvXwc=")</f>
        <v>#REF!</v>
      </c>
      <c r="I8" s="1" t="e">
        <f>AND('Maxi 1'!#REF!,"AAAAAHnvXwg=")</f>
        <v>#REF!</v>
      </c>
      <c r="J8" s="1" t="e">
        <f>AND('Maxi 1'!#REF!,"AAAAAHnvXwk=")</f>
        <v>#REF!</v>
      </c>
      <c r="K8" s="1" t="e">
        <f>AND('Maxi 1'!#REF!,"AAAAAHnvXwo=")</f>
        <v>#REF!</v>
      </c>
      <c r="L8" s="1" t="e">
        <f>AND('Maxi 1'!#REF!,"AAAAAHnvXws=")</f>
        <v>#REF!</v>
      </c>
      <c r="M8" s="1" t="e">
        <f>AND('Maxi 1'!#REF!,"AAAAAHnvXww=")</f>
        <v>#REF!</v>
      </c>
      <c r="N8" s="1" t="e">
        <f>AND('Maxi 1'!#REF!,"AAAAAHnvXw0=")</f>
        <v>#REF!</v>
      </c>
      <c r="O8" s="1" t="e">
        <f>AND('Maxi 1'!#REF!,"AAAAAHnvXw4=")</f>
        <v>#REF!</v>
      </c>
      <c r="P8" s="1" t="e">
        <f>AND('Maxi 1'!#REF!,"AAAAAHnvXw8=")</f>
        <v>#REF!</v>
      </c>
      <c r="Q8" s="1" t="e">
        <f>AND('Maxi 1'!#REF!,"AAAAAHnvXxA=")</f>
        <v>#REF!</v>
      </c>
      <c r="R8" s="1" t="e">
        <f>AND('Maxi 1'!#REF!,"AAAAAHnvXxE=")</f>
        <v>#REF!</v>
      </c>
      <c r="S8" s="1" t="e">
        <f>AND('Maxi 1'!#REF!,"AAAAAHnvXxI=")</f>
        <v>#REF!</v>
      </c>
      <c r="T8" s="1" t="e">
        <f>AND('Maxi 1'!#REF!,"AAAAAHnvXxM=")</f>
        <v>#REF!</v>
      </c>
      <c r="U8" s="1" t="e">
        <f>AND('Maxi 1'!#REF!,"AAAAAHnvXxQ=")</f>
        <v>#REF!</v>
      </c>
      <c r="V8" s="1" t="e">
        <f>AND('Maxi 1'!#REF!,"AAAAAHnvXxU=")</f>
        <v>#REF!</v>
      </c>
      <c r="W8" s="1" t="e">
        <f>AND('Maxi 1'!#REF!,"AAAAAHnvXxY=")</f>
        <v>#REF!</v>
      </c>
      <c r="X8" s="1" t="e">
        <f>AND('Maxi 1'!#REF!,"AAAAAHnvXxc=")</f>
        <v>#REF!</v>
      </c>
      <c r="Y8" s="1" t="e">
        <f>AND('Maxi 1'!#REF!,"AAAAAHnvXxg=")</f>
        <v>#REF!</v>
      </c>
      <c r="Z8" s="1" t="e">
        <f>AND('Maxi 1'!#REF!,"AAAAAHnvXxk=")</f>
        <v>#REF!</v>
      </c>
      <c r="AA8" s="1" t="e">
        <f>AND('Maxi 1'!#REF!,"AAAAAHnvXxo=")</f>
        <v>#REF!</v>
      </c>
      <c r="AB8" s="1" t="e">
        <f>AND('Maxi 1'!#REF!,"AAAAAHnvXxs=")</f>
        <v>#REF!</v>
      </c>
      <c r="AC8" s="1" t="e">
        <f>IF('Maxi 1'!#REF!,"AAAAAHnvXxw=",0)</f>
        <v>#REF!</v>
      </c>
      <c r="AD8" s="1" t="e">
        <f>AND('Maxi 1'!#REF!,"AAAAAHnvXx0=")</f>
        <v>#REF!</v>
      </c>
      <c r="AE8" s="1" t="e">
        <f>AND('Maxi 1'!#REF!,"AAAAAHnvXx4=")</f>
        <v>#REF!</v>
      </c>
      <c r="AF8" s="1" t="e">
        <f>AND('Maxi 1'!#REF!,"AAAAAHnvXx8=")</f>
        <v>#REF!</v>
      </c>
      <c r="AG8" s="1" t="e">
        <f>AND('Maxi 1'!#REF!,"AAAAAHnvXyA=")</f>
        <v>#REF!</v>
      </c>
      <c r="AH8" s="1" t="e">
        <f>AND('Maxi 1'!#REF!,"AAAAAHnvXyE=")</f>
        <v>#REF!</v>
      </c>
      <c r="AI8" s="1" t="e">
        <f>AND('Maxi 1'!#REF!,"AAAAAHnvXyI=")</f>
        <v>#REF!</v>
      </c>
      <c r="AJ8" s="1" t="e">
        <f>AND('Maxi 1'!#REF!,"AAAAAHnvXyM=")</f>
        <v>#REF!</v>
      </c>
      <c r="AK8" s="1" t="e">
        <f>AND('Maxi 1'!#REF!,"AAAAAHnvXyQ=")</f>
        <v>#REF!</v>
      </c>
      <c r="AL8" s="1" t="e">
        <f>AND('Maxi 1'!#REF!,"AAAAAHnvXyU=")</f>
        <v>#REF!</v>
      </c>
      <c r="AM8" s="1" t="e">
        <f>AND('Maxi 1'!#REF!,"AAAAAHnvXyY=")</f>
        <v>#REF!</v>
      </c>
      <c r="AN8" s="1" t="e">
        <f>AND('Maxi 1'!#REF!,"AAAAAHnvXyc=")</f>
        <v>#REF!</v>
      </c>
      <c r="AO8" s="1" t="e">
        <f>AND('Maxi 1'!#REF!,"AAAAAHnvXyg=")</f>
        <v>#REF!</v>
      </c>
      <c r="AP8" s="1" t="e">
        <f>AND('Maxi 1'!#REF!,"AAAAAHnvXyk=")</f>
        <v>#REF!</v>
      </c>
      <c r="AQ8" s="1" t="e">
        <f>AND('Maxi 1'!#REF!,"AAAAAHnvXyo=")</f>
        <v>#REF!</v>
      </c>
      <c r="AR8" s="1" t="e">
        <f>AND('Maxi 1'!#REF!,"AAAAAHnvXys=")</f>
        <v>#REF!</v>
      </c>
      <c r="AS8" s="1" t="e">
        <f>AND('Maxi 1'!#REF!,"AAAAAHnvXyw=")</f>
        <v>#REF!</v>
      </c>
      <c r="AT8" s="1" t="e">
        <f>AND('Maxi 1'!#REF!,"AAAAAHnvXy0=")</f>
        <v>#REF!</v>
      </c>
      <c r="AU8" s="1" t="e">
        <f>AND('Maxi 1'!#REF!,"AAAAAHnvXy4=")</f>
        <v>#REF!</v>
      </c>
      <c r="AV8" s="1" t="e">
        <f>AND('Maxi 1'!#REF!,"AAAAAHnvXy8=")</f>
        <v>#REF!</v>
      </c>
      <c r="AW8" s="1" t="e">
        <f>AND('Maxi 1'!#REF!,"AAAAAHnvXzA=")</f>
        <v>#REF!</v>
      </c>
      <c r="AX8" s="1" t="e">
        <f>AND('Maxi 1'!#REF!,"AAAAAHnvXzE=")</f>
        <v>#REF!</v>
      </c>
      <c r="AY8" s="1" t="e">
        <f>AND('Maxi 1'!#REF!,"AAAAAHnvXzI=")</f>
        <v>#REF!</v>
      </c>
      <c r="AZ8" s="1" t="e">
        <f>AND('Maxi 1'!#REF!,"AAAAAHnvXzM=")</f>
        <v>#REF!</v>
      </c>
      <c r="BA8" s="1" t="e">
        <f>AND('Maxi 1'!#REF!,"AAAAAHnvXzQ=")</f>
        <v>#REF!</v>
      </c>
      <c r="BB8" s="1" t="e">
        <f>AND('Maxi 1'!#REF!,"AAAAAHnvXzU=")</f>
        <v>#REF!</v>
      </c>
      <c r="BC8" s="1" t="e">
        <f>AND('Maxi 1'!#REF!,"AAAAAHnvXzY=")</f>
        <v>#REF!</v>
      </c>
      <c r="BD8" s="1" t="e">
        <f>AND('Maxi 1'!#REF!,"AAAAAHnvXzc=")</f>
        <v>#REF!</v>
      </c>
      <c r="BE8" s="1" t="e">
        <f>IF('Maxi 1'!#REF!,"AAAAAHnvXzg=",0)</f>
        <v>#REF!</v>
      </c>
      <c r="BF8" s="1" t="e">
        <f>AND('Maxi 1'!#REF!,"AAAAAHnvXzk=")</f>
        <v>#REF!</v>
      </c>
      <c r="BG8" s="1" t="e">
        <f>AND('Maxi 1'!#REF!,"AAAAAHnvXzo=")</f>
        <v>#REF!</v>
      </c>
      <c r="BH8" s="1" t="e">
        <f>AND('Maxi 1'!#REF!,"AAAAAHnvXzs=")</f>
        <v>#REF!</v>
      </c>
      <c r="BI8" s="1" t="e">
        <f>AND('Maxi 1'!#REF!,"AAAAAHnvXzw=")</f>
        <v>#REF!</v>
      </c>
      <c r="BJ8" s="1" t="e">
        <f>AND('Maxi 1'!#REF!,"AAAAAHnvXz0=")</f>
        <v>#REF!</v>
      </c>
      <c r="BK8" s="1" t="e">
        <f>AND('Maxi 1'!#REF!,"AAAAAHnvXz4=")</f>
        <v>#REF!</v>
      </c>
      <c r="BL8" s="1" t="e">
        <f>AND('Maxi 1'!#REF!,"AAAAAHnvXz8=")</f>
        <v>#REF!</v>
      </c>
      <c r="BM8" s="1" t="e">
        <f>AND('Maxi 1'!#REF!,"AAAAAHnvX0A=")</f>
        <v>#REF!</v>
      </c>
      <c r="BN8" s="1" t="e">
        <f>AND('Maxi 1'!#REF!,"AAAAAHnvX0E=")</f>
        <v>#REF!</v>
      </c>
      <c r="BO8" s="1" t="e">
        <f>AND('Maxi 1'!#REF!,"AAAAAHnvX0I=")</f>
        <v>#REF!</v>
      </c>
      <c r="BP8" s="1" t="e">
        <f>AND('Maxi 1'!#REF!,"AAAAAHnvX0M=")</f>
        <v>#REF!</v>
      </c>
      <c r="BQ8" s="1" t="e">
        <f>AND('Maxi 1'!#REF!,"AAAAAHnvX0Q=")</f>
        <v>#REF!</v>
      </c>
      <c r="BR8" s="1" t="e">
        <f>AND('Maxi 1'!#REF!,"AAAAAHnvX0U=")</f>
        <v>#REF!</v>
      </c>
      <c r="BS8" s="1" t="e">
        <f>AND('Maxi 1'!#REF!,"AAAAAHnvX0Y=")</f>
        <v>#REF!</v>
      </c>
      <c r="BT8" s="1" t="e">
        <f>AND('Maxi 1'!#REF!,"AAAAAHnvX0c=")</f>
        <v>#REF!</v>
      </c>
      <c r="BU8" s="1" t="e">
        <f>AND('Maxi 1'!#REF!,"AAAAAHnvX0g=")</f>
        <v>#REF!</v>
      </c>
      <c r="BV8" s="1" t="e">
        <f>AND('Maxi 1'!#REF!,"AAAAAHnvX0k=")</f>
        <v>#REF!</v>
      </c>
      <c r="BW8" s="1" t="e">
        <f>AND('Maxi 1'!#REF!,"AAAAAHnvX0o=")</f>
        <v>#REF!</v>
      </c>
      <c r="BX8" s="1" t="e">
        <f>AND('Maxi 1'!#REF!,"AAAAAHnvX0s=")</f>
        <v>#REF!</v>
      </c>
      <c r="BY8" s="1" t="e">
        <f>AND('Maxi 1'!#REF!,"AAAAAHnvX0w=")</f>
        <v>#REF!</v>
      </c>
      <c r="BZ8" s="1" t="e">
        <f>AND('Maxi 1'!#REF!,"AAAAAHnvX00=")</f>
        <v>#REF!</v>
      </c>
      <c r="CA8" s="1" t="e">
        <f>AND('Maxi 1'!#REF!,"AAAAAHnvX04=")</f>
        <v>#REF!</v>
      </c>
      <c r="CB8" s="1" t="e">
        <f>AND('Maxi 1'!#REF!,"AAAAAHnvX08=")</f>
        <v>#REF!</v>
      </c>
      <c r="CC8" s="1" t="e">
        <f>AND('Maxi 1'!#REF!,"AAAAAHnvX1A=")</f>
        <v>#REF!</v>
      </c>
      <c r="CD8" s="1" t="e">
        <f>AND('Maxi 1'!#REF!,"AAAAAHnvX1E=")</f>
        <v>#REF!</v>
      </c>
      <c r="CE8" s="1" t="e">
        <f>AND('Maxi 1'!#REF!,"AAAAAHnvX1I=")</f>
        <v>#REF!</v>
      </c>
      <c r="CF8" s="1" t="e">
        <f>AND('Maxi 1'!#REF!,"AAAAAHnvX1M=")</f>
        <v>#REF!</v>
      </c>
      <c r="CG8" s="1" t="e">
        <f>IF('Maxi 1'!#REF!,"AAAAAHnvX1Q=",0)</f>
        <v>#REF!</v>
      </c>
      <c r="CH8" s="1" t="e">
        <f>AND('Maxi 1'!#REF!,"AAAAAHnvX1U=")</f>
        <v>#REF!</v>
      </c>
      <c r="CI8" s="1" t="e">
        <f>AND('Maxi 1'!#REF!,"AAAAAHnvX1Y=")</f>
        <v>#REF!</v>
      </c>
      <c r="CJ8" s="1" t="e">
        <f>AND('Maxi 1'!#REF!,"AAAAAHnvX1c=")</f>
        <v>#REF!</v>
      </c>
      <c r="CK8" s="1" t="e">
        <f>AND('Maxi 1'!#REF!,"AAAAAHnvX1g=")</f>
        <v>#REF!</v>
      </c>
      <c r="CL8" s="1" t="e">
        <f>AND('Maxi 1'!#REF!,"AAAAAHnvX1k=")</f>
        <v>#REF!</v>
      </c>
      <c r="CM8" s="1" t="e">
        <f>AND('Maxi 1'!#REF!,"AAAAAHnvX1o=")</f>
        <v>#REF!</v>
      </c>
      <c r="CN8" s="1" t="e">
        <f>AND('Maxi 1'!#REF!,"AAAAAHnvX1s=")</f>
        <v>#REF!</v>
      </c>
      <c r="CO8" s="1" t="e">
        <f>AND('Maxi 1'!#REF!,"AAAAAHnvX1w=")</f>
        <v>#REF!</v>
      </c>
      <c r="CP8" s="1" t="e">
        <f>AND('Maxi 1'!#REF!,"AAAAAHnvX10=")</f>
        <v>#REF!</v>
      </c>
      <c r="CQ8" s="1" t="e">
        <f>AND('Maxi 1'!#REF!,"AAAAAHnvX14=")</f>
        <v>#REF!</v>
      </c>
      <c r="CR8" s="1" t="e">
        <f>AND('Maxi 1'!#REF!,"AAAAAHnvX18=")</f>
        <v>#REF!</v>
      </c>
      <c r="CS8" s="1" t="e">
        <f>AND('Maxi 1'!#REF!,"AAAAAHnvX2A=")</f>
        <v>#REF!</v>
      </c>
      <c r="CT8" s="1" t="e">
        <f>AND('Maxi 1'!#REF!,"AAAAAHnvX2E=")</f>
        <v>#REF!</v>
      </c>
      <c r="CU8" s="1" t="e">
        <f>AND('Maxi 1'!#REF!,"AAAAAHnvX2I=")</f>
        <v>#REF!</v>
      </c>
      <c r="CV8" s="1" t="e">
        <f>AND('Maxi 1'!#REF!,"AAAAAHnvX2M=")</f>
        <v>#REF!</v>
      </c>
      <c r="CW8" s="1" t="e">
        <f>AND('Maxi 1'!#REF!,"AAAAAHnvX2Q=")</f>
        <v>#REF!</v>
      </c>
      <c r="CX8" s="1" t="e">
        <f>AND('Maxi 1'!#REF!,"AAAAAHnvX2U=")</f>
        <v>#REF!</v>
      </c>
      <c r="CY8" s="1" t="e">
        <f>AND('Maxi 1'!#REF!,"AAAAAHnvX2Y=")</f>
        <v>#REF!</v>
      </c>
      <c r="CZ8" s="1" t="e">
        <f>AND('Maxi 1'!#REF!,"AAAAAHnvX2c=")</f>
        <v>#REF!</v>
      </c>
      <c r="DA8" s="1" t="e">
        <f>AND('Maxi 1'!#REF!,"AAAAAHnvX2g=")</f>
        <v>#REF!</v>
      </c>
      <c r="DB8" s="1" t="e">
        <f>AND('Maxi 1'!#REF!,"AAAAAHnvX2k=")</f>
        <v>#REF!</v>
      </c>
      <c r="DC8" s="1" t="e">
        <f>AND('Maxi 1'!#REF!,"AAAAAHnvX2o=")</f>
        <v>#REF!</v>
      </c>
      <c r="DD8" s="1" t="e">
        <f>AND('Maxi 1'!#REF!,"AAAAAHnvX2s=")</f>
        <v>#REF!</v>
      </c>
      <c r="DE8" s="1" t="e">
        <f>AND('Maxi 1'!#REF!,"AAAAAHnvX2w=")</f>
        <v>#REF!</v>
      </c>
      <c r="DF8" s="1" t="e">
        <f>AND('Maxi 1'!#REF!,"AAAAAHnvX20=")</f>
        <v>#REF!</v>
      </c>
      <c r="DG8" s="1" t="e">
        <f>AND('Maxi 1'!#REF!,"AAAAAHnvX24=")</f>
        <v>#REF!</v>
      </c>
      <c r="DH8" s="1" t="e">
        <f>AND('Maxi 1'!#REF!,"AAAAAHnvX28=")</f>
        <v>#REF!</v>
      </c>
      <c r="DI8" s="1" t="e">
        <f>IF('Maxi 1'!#REF!,"AAAAAHnvX3A=",0)</f>
        <v>#REF!</v>
      </c>
      <c r="DJ8" s="1" t="e">
        <f>AND('Maxi 1'!#REF!,"AAAAAHnvX3E=")</f>
        <v>#REF!</v>
      </c>
      <c r="DK8" s="1" t="e">
        <f>AND('Maxi 1'!#REF!,"AAAAAHnvX3I=")</f>
        <v>#REF!</v>
      </c>
      <c r="DL8" s="1" t="e">
        <f>AND('Maxi 1'!#REF!,"AAAAAHnvX3M=")</f>
        <v>#REF!</v>
      </c>
      <c r="DM8" s="1" t="e">
        <f>AND('Maxi 1'!#REF!,"AAAAAHnvX3Q=")</f>
        <v>#REF!</v>
      </c>
      <c r="DN8" s="1" t="e">
        <f>AND('Maxi 1'!#REF!,"AAAAAHnvX3U=")</f>
        <v>#REF!</v>
      </c>
      <c r="DO8" s="1" t="e">
        <f>AND('Maxi 1'!#REF!,"AAAAAHnvX3Y=")</f>
        <v>#REF!</v>
      </c>
      <c r="DP8" s="1" t="e">
        <f>AND('Maxi 1'!#REF!,"AAAAAHnvX3c=")</f>
        <v>#REF!</v>
      </c>
      <c r="DQ8" s="1" t="e">
        <f>AND('Maxi 1'!#REF!,"AAAAAHnvX3g=")</f>
        <v>#REF!</v>
      </c>
      <c r="DR8" s="1" t="e">
        <f>AND('Maxi 1'!#REF!,"AAAAAHnvX3k=")</f>
        <v>#REF!</v>
      </c>
      <c r="DS8" s="1" t="e">
        <f>AND('Maxi 1'!#REF!,"AAAAAHnvX3o=")</f>
        <v>#REF!</v>
      </c>
      <c r="DT8" s="1" t="e">
        <f>AND('Maxi 1'!#REF!,"AAAAAHnvX3s=")</f>
        <v>#REF!</v>
      </c>
      <c r="DU8" s="1" t="e">
        <f>AND('Maxi 1'!#REF!,"AAAAAHnvX3w=")</f>
        <v>#REF!</v>
      </c>
      <c r="DV8" s="1" t="e">
        <f>AND('Maxi 1'!#REF!,"AAAAAHnvX30=")</f>
        <v>#REF!</v>
      </c>
      <c r="DW8" s="1" t="e">
        <f>AND('Maxi 1'!#REF!,"AAAAAHnvX34=")</f>
        <v>#REF!</v>
      </c>
      <c r="DX8" s="1" t="e">
        <f>AND('Maxi 1'!#REF!,"AAAAAHnvX38=")</f>
        <v>#REF!</v>
      </c>
      <c r="DY8" s="1" t="e">
        <f>AND('Maxi 1'!#REF!,"AAAAAHnvX4A=")</f>
        <v>#REF!</v>
      </c>
      <c r="DZ8" s="1" t="e">
        <f>AND('Maxi 1'!#REF!,"AAAAAHnvX4E=")</f>
        <v>#REF!</v>
      </c>
      <c r="EA8" s="1" t="e">
        <f>AND('Maxi 1'!#REF!,"AAAAAHnvX4I=")</f>
        <v>#REF!</v>
      </c>
      <c r="EB8" s="1" t="e">
        <f>AND('Maxi 1'!#REF!,"AAAAAHnvX4M=")</f>
        <v>#REF!</v>
      </c>
      <c r="EC8" s="1" t="e">
        <f>AND('Maxi 1'!#REF!,"AAAAAHnvX4Q=")</f>
        <v>#REF!</v>
      </c>
      <c r="ED8" s="1" t="e">
        <f>AND('Maxi 1'!#REF!,"AAAAAHnvX4U=")</f>
        <v>#REF!</v>
      </c>
      <c r="EE8" s="1" t="e">
        <f>AND('Maxi 1'!#REF!,"AAAAAHnvX4Y=")</f>
        <v>#REF!</v>
      </c>
      <c r="EF8" s="1" t="e">
        <f>AND('Maxi 1'!#REF!,"AAAAAHnvX4c=")</f>
        <v>#REF!</v>
      </c>
      <c r="EG8" s="1" t="e">
        <f>AND('Maxi 1'!#REF!,"AAAAAHnvX4g=")</f>
        <v>#REF!</v>
      </c>
      <c r="EH8" s="1" t="e">
        <f>AND('Maxi 1'!#REF!,"AAAAAHnvX4k=")</f>
        <v>#REF!</v>
      </c>
      <c r="EI8" s="1" t="e">
        <f>AND('Maxi 1'!#REF!,"AAAAAHnvX4o=")</f>
        <v>#REF!</v>
      </c>
      <c r="EJ8" s="1" t="e">
        <f>AND('Maxi 1'!#REF!,"AAAAAHnvX4s=")</f>
        <v>#REF!</v>
      </c>
      <c r="EK8" s="1" t="e">
        <f>IF('Maxi 1'!#REF!,"AAAAAHnvX4w=",0)</f>
        <v>#REF!</v>
      </c>
      <c r="EL8" s="1" t="e">
        <f>IF('Maxi 1'!#REF!,"AAAAAHnvX40=",0)</f>
        <v>#REF!</v>
      </c>
      <c r="EM8" s="1" t="e">
        <f>IF('Maxi 1'!#REF!,"AAAAAHnvX44=",0)</f>
        <v>#REF!</v>
      </c>
      <c r="EN8" s="1" t="e">
        <f>IF('Maxi 1'!#REF!,"AAAAAHnvX48=",0)</f>
        <v>#REF!</v>
      </c>
      <c r="EO8" s="1" t="e">
        <f>IF('Maxi 1'!#REF!,"AAAAAHnvX5A=",0)</f>
        <v>#REF!</v>
      </c>
      <c r="EP8" s="1" t="e">
        <f>IF('Maxi 1'!#REF!,"AAAAAHnvX5E=",0)</f>
        <v>#REF!</v>
      </c>
      <c r="EQ8" s="1" t="e">
        <f>IF('Maxi 1'!#REF!,"AAAAAHnvX5I=",0)</f>
        <v>#REF!</v>
      </c>
      <c r="ER8" s="1" t="e">
        <f>IF('Maxi 1'!#REF!,"AAAAAHnvX5M=",0)</f>
        <v>#REF!</v>
      </c>
      <c r="ES8" s="1" t="e">
        <f>IF('Maxi 1'!#REF!,"AAAAAHnvX5Q=",0)</f>
        <v>#REF!</v>
      </c>
      <c r="ET8" s="1" t="e">
        <f>IF('Maxi 1'!#REF!,"AAAAAHnvX5U=",0)</f>
        <v>#REF!</v>
      </c>
      <c r="EU8" s="1" t="e">
        <f>IF('Maxi 1'!#REF!,"AAAAAHnvX5Y=",0)</f>
        <v>#REF!</v>
      </c>
      <c r="EV8" s="1" t="e">
        <f>IF('Maxi 1'!#REF!,"AAAAAHnvX5c=",0)</f>
        <v>#REF!</v>
      </c>
      <c r="EW8" s="1" t="e">
        <f>IF('Maxi 1'!#REF!,"AAAAAHnvX5g=",0)</f>
        <v>#REF!</v>
      </c>
      <c r="EX8" s="1" t="e">
        <f>IF('Maxi 1'!#REF!,"AAAAAHnvX5k=",0)</f>
        <v>#REF!</v>
      </c>
      <c r="EY8" s="1" t="e">
        <f>IF('Maxi 1'!#REF!,"AAAAAHnvX5o=",0)</f>
        <v>#REF!</v>
      </c>
      <c r="EZ8" s="1" t="e">
        <f>IF('Maxi 1'!#REF!,"AAAAAHnvX5s=",0)</f>
        <v>#REF!</v>
      </c>
      <c r="FA8" s="1" t="e">
        <f>IF('Maxi 1'!#REF!,"AAAAAHnvX5w=",0)</f>
        <v>#REF!</v>
      </c>
      <c r="FB8" s="1" t="e">
        <f>IF('Maxi 1'!#REF!,"AAAAAHnvX50=",0)</f>
        <v>#REF!</v>
      </c>
      <c r="FC8" s="1" t="e">
        <f>IF('Maxi 1'!#REF!,"AAAAAHnvX54=",0)</f>
        <v>#REF!</v>
      </c>
      <c r="FD8" s="1" t="e">
        <f>IF('Maxi 1'!#REF!,"AAAAAHnvX58=",0)</f>
        <v>#REF!</v>
      </c>
      <c r="FE8" s="1" t="e">
        <f>IF('Maxi 1'!#REF!,"AAAAAHnvX6A=",0)</f>
        <v>#REF!</v>
      </c>
      <c r="FF8" s="1" t="e">
        <f>IF('Maxi 1'!#REF!,"AAAAAHnvX6E=",0)</f>
        <v>#REF!</v>
      </c>
      <c r="FG8" s="1" t="e">
        <f>IF('Maxi 1'!#REF!,"AAAAAHnvX6I=",0)</f>
        <v>#REF!</v>
      </c>
      <c r="FH8" s="1">
        <f>IF('Maxi 1'!40:40,"AAAAAHnvX6M=",0)</f>
        <v>0</v>
      </c>
      <c r="FI8" s="1">
        <f>IF('Maxi 1'!41:41,"AAAAAHnvX6Q=",0)</f>
        <v>0</v>
      </c>
      <c r="FJ8" s="1">
        <f>IF('Maxi 1'!42:42,"AAAAAHnvX6U=",0)</f>
        <v>0</v>
      </c>
      <c r="FK8" s="1">
        <f>IF('Maxi 1'!43:43,"AAAAAHnvX6Y=",0)</f>
        <v>0</v>
      </c>
      <c r="FL8" s="1">
        <f>IF('Maxi 1'!44:44,"AAAAAHnvX6c=",0)</f>
        <v>0</v>
      </c>
      <c r="FM8" s="1">
        <f>IF('Maxi 1'!45:45,"AAAAAHnvX6g=",0)</f>
        <v>0</v>
      </c>
      <c r="FN8" s="1">
        <f>IF('Maxi 1'!46:46,"AAAAAHnvX6k=",0)</f>
        <v>0</v>
      </c>
      <c r="FO8" s="1">
        <f>IF('Maxi 1'!47:47,"AAAAAHnvX6o=",0)</f>
        <v>0</v>
      </c>
      <c r="FP8" s="1">
        <f>IF('Maxi 1'!48:48,"AAAAAHnvX6s=",0)</f>
        <v>0</v>
      </c>
      <c r="FQ8" s="1">
        <f>IF('Maxi 1'!49:49,"AAAAAHnvX6w=",0)</f>
        <v>0</v>
      </c>
      <c r="FR8" s="1">
        <f>IF('Maxi 1'!50:50,"AAAAAHnvX60=",0)</f>
        <v>0</v>
      </c>
      <c r="FS8" s="1">
        <f>IF('Maxi 1'!51:51,"AAAAAHnvX64=",0)</f>
        <v>0</v>
      </c>
      <c r="FT8" s="1">
        <f>IF('Maxi 1'!52:52,"AAAAAHnvX68=",0)</f>
        <v>0</v>
      </c>
      <c r="FU8" s="1">
        <f>IF('Maxi 1'!53:53,"AAAAAHnvX7A=",0)</f>
        <v>0</v>
      </c>
      <c r="FV8" s="1">
        <f>IF('Maxi 1'!54:54,"AAAAAHnvX7E=",0)</f>
        <v>0</v>
      </c>
      <c r="FW8" s="1">
        <f>IF('Maxi 1'!55:55,"AAAAAHnvX7I=",0)</f>
        <v>0</v>
      </c>
      <c r="FX8" s="1">
        <f>IF('Maxi 1'!56:56,"AAAAAHnvX7M=",0)</f>
        <v>0</v>
      </c>
      <c r="FY8" s="1">
        <f>IF('Maxi 1'!57:57,"AAAAAHnvX7Q=",0)</f>
        <v>0</v>
      </c>
      <c r="FZ8" s="1">
        <f>IF('Maxi 1'!58:58,"AAAAAHnvX7U=",0)</f>
        <v>0</v>
      </c>
      <c r="GA8" s="1">
        <f>IF('Maxi 1'!59:59,"AAAAAHnvX7Y=",0)</f>
        <v>0</v>
      </c>
      <c r="GB8" s="1">
        <f>IF('Maxi 1'!60:60,"AAAAAHnvX7c=",0)</f>
        <v>0</v>
      </c>
      <c r="GC8" s="1">
        <f>IF('Maxi 1'!61:61,"AAAAAHnvX7g=",0)</f>
        <v>0</v>
      </c>
      <c r="GD8" s="1">
        <f>IF('Maxi 1'!62:62,"AAAAAHnvX7k=",0)</f>
        <v>0</v>
      </c>
      <c r="GE8" s="1">
        <f>IF('Maxi 1'!63:63,"AAAAAHnvX7o=",0)</f>
        <v>0</v>
      </c>
      <c r="GF8" s="1">
        <f>IF('Maxi 1'!64:64,"AAAAAHnvX7s=",0)</f>
        <v>0</v>
      </c>
      <c r="GG8" s="1">
        <f>IF('Maxi 1'!65:65,"AAAAAHnvX7w=",0)</f>
        <v>0</v>
      </c>
      <c r="GH8" s="1">
        <f>IF('Maxi 1'!66:66,"AAAAAHnvX70=",0)</f>
        <v>0</v>
      </c>
      <c r="GI8" s="1">
        <f>IF('Maxi 1'!67:67,"AAAAAHnvX74=",0)</f>
        <v>0</v>
      </c>
      <c r="GJ8" s="1">
        <f>IF('Maxi 1'!68:68,"AAAAAHnvX78=",0)</f>
        <v>0</v>
      </c>
      <c r="GK8" s="1">
        <f>IF('Maxi 1'!69:69,"AAAAAHnvX8A=",0)</f>
        <v>0</v>
      </c>
      <c r="GL8" s="1">
        <f>IF('Maxi 1'!70:70,"AAAAAHnvX8E=",0)</f>
        <v>0</v>
      </c>
      <c r="GM8" s="1">
        <f>IF('Maxi 1'!71:71,"AAAAAHnvX8I=",0)</f>
        <v>0</v>
      </c>
      <c r="GN8" s="1">
        <f>IF('Maxi 1'!72:72,"AAAAAHnvX8M=",0)</f>
        <v>0</v>
      </c>
      <c r="GO8" s="1">
        <f>IF('Maxi 1'!73:73,"AAAAAHnvX8Q=",0)</f>
        <v>0</v>
      </c>
      <c r="GP8" s="1">
        <f>IF('Maxi 1'!74:74,"AAAAAHnvX8U=",0)</f>
        <v>0</v>
      </c>
      <c r="GQ8" s="1">
        <f>IF('Maxi 1'!75:75,"AAAAAHnvX8Y=",0)</f>
        <v>0</v>
      </c>
      <c r="GR8" s="1">
        <f>IF('Maxi 1'!76:76,"AAAAAHnvX8c=",0)</f>
        <v>0</v>
      </c>
      <c r="GS8" s="1">
        <f>IF('Maxi 1'!77:77,"AAAAAHnvX8g=",0)</f>
        <v>0</v>
      </c>
      <c r="GT8" s="1">
        <f>IF('Maxi 1'!78:78,"AAAAAHnvX8k=",0)</f>
        <v>0</v>
      </c>
      <c r="GU8" s="1">
        <f>IF('Maxi 1'!79:79,"AAAAAHnvX8o=",0)</f>
        <v>0</v>
      </c>
      <c r="GV8" s="1">
        <f>IF('Maxi 1'!80:80,"AAAAAHnvX8s=",0)</f>
        <v>0</v>
      </c>
      <c r="GW8" s="1">
        <f>IF('Maxi 1'!81:81,"AAAAAHnvX8w=",0)</f>
        <v>0</v>
      </c>
      <c r="GX8" s="1">
        <f>IF('Maxi 1'!82:82,"AAAAAHnvX80=",0)</f>
        <v>0</v>
      </c>
      <c r="GY8" s="1">
        <f>IF('Maxi 1'!83:83,"AAAAAHnvX84=",0)</f>
        <v>0</v>
      </c>
      <c r="GZ8" s="1">
        <f>IF('Maxi 1'!84:84,"AAAAAHnvX88=",0)</f>
        <v>0</v>
      </c>
      <c r="HA8" s="1">
        <f>IF('Maxi 1'!85:85,"AAAAAHnvX9A=",0)</f>
        <v>0</v>
      </c>
      <c r="HB8" s="1">
        <f>IF('Maxi 1'!86:86,"AAAAAHnvX9E=",0)</f>
        <v>0</v>
      </c>
      <c r="HC8" s="1">
        <f>IF('Maxi 1'!87:87,"AAAAAHnvX9I=",0)</f>
        <v>0</v>
      </c>
      <c r="HD8" s="1">
        <f>IF('Maxi 1'!88:88,"AAAAAHnvX9M=",0)</f>
        <v>0</v>
      </c>
      <c r="HE8" s="1">
        <f>IF('Maxi 1'!89:89,"AAAAAHnvX9Q=",0)</f>
        <v>0</v>
      </c>
      <c r="HF8" s="1">
        <f>IF('Maxi 1'!90:90,"AAAAAHnvX9U=",0)</f>
        <v>0</v>
      </c>
      <c r="HG8" s="1">
        <f>IF('Maxi 1'!91:91,"AAAAAHnvX9Y=",0)</f>
        <v>0</v>
      </c>
      <c r="HH8" s="1">
        <f>IF('Maxi 1'!92:92,"AAAAAHnvX9c=",0)</f>
        <v>0</v>
      </c>
      <c r="HI8" s="1">
        <f>IF('Maxi 1'!93:93,"AAAAAHnvX9g=",0)</f>
        <v>0</v>
      </c>
      <c r="HJ8" s="1">
        <f>IF('Maxi 1'!94:94,"AAAAAHnvX9k=",0)</f>
        <v>0</v>
      </c>
      <c r="HK8" s="1">
        <f>IF('Maxi 1'!95:95,"AAAAAHnvX9o=",0)</f>
        <v>0</v>
      </c>
      <c r="HL8" s="1">
        <f>IF('Maxi 1'!96:96,"AAAAAHnvX9s=",0)</f>
        <v>0</v>
      </c>
      <c r="HM8" s="1">
        <f>IF('Maxi 1'!97:97,"AAAAAHnvX9w=",0)</f>
        <v>0</v>
      </c>
      <c r="HN8" s="1">
        <f>IF('Maxi 1'!98:98,"AAAAAHnvX90=",0)</f>
        <v>0</v>
      </c>
      <c r="HO8" s="1">
        <f>IF('Maxi 1'!99:99,"AAAAAHnvX94=",0)</f>
        <v>0</v>
      </c>
      <c r="HP8" s="1">
        <f>IF('Maxi 1'!100:100,"AAAAAHnvX98=",0)</f>
        <v>0</v>
      </c>
      <c r="HQ8" s="1">
        <f>IF('Maxi 1'!101:101,"AAAAAHnvX+A=",0)</f>
        <v>0</v>
      </c>
      <c r="HR8" s="1">
        <f>IF('Maxi 1'!102:102,"AAAAAHnvX+E=",0)</f>
        <v>0</v>
      </c>
      <c r="HS8" s="1">
        <f>IF('Maxi 1'!103:103,"AAAAAHnvX+I=",0)</f>
        <v>0</v>
      </c>
      <c r="HT8" s="1">
        <f>IF('Maxi 1'!104:104,"AAAAAHnvX+M=",0)</f>
        <v>0</v>
      </c>
      <c r="HU8" s="1">
        <f>IF('Maxi 1'!105:105,"AAAAAHnvX+Q=",0)</f>
        <v>0</v>
      </c>
      <c r="HV8" s="1">
        <f>IF('Maxi 1'!106:106,"AAAAAHnvX+U=",0)</f>
        <v>0</v>
      </c>
      <c r="HW8" s="1">
        <f>IF('Maxi 1'!107:107,"AAAAAHnvX+Y=",0)</f>
        <v>0</v>
      </c>
      <c r="HX8" s="1">
        <f>IF('Maxi 1'!108:108,"AAAAAHnvX+c=",0)</f>
        <v>0</v>
      </c>
      <c r="HY8" s="1">
        <f>IF('Maxi 1'!109:109,"AAAAAHnvX+g=",0)</f>
        <v>0</v>
      </c>
      <c r="HZ8" s="1">
        <f>IF('Maxi 1'!110:110,"AAAAAHnvX+k=",0)</f>
        <v>0</v>
      </c>
      <c r="IA8" s="1">
        <f>IF('Maxi 1'!111:111,"AAAAAHnvX+o=",0)</f>
        <v>0</v>
      </c>
      <c r="IB8" s="1">
        <f>IF('Maxi 1'!112:112,"AAAAAHnvX+s=",0)</f>
        <v>0</v>
      </c>
      <c r="IC8" s="1">
        <f>IF('Maxi 1'!113:113,"AAAAAHnvX+w=",0)</f>
        <v>0</v>
      </c>
      <c r="ID8" s="1">
        <f>IF('Maxi 1'!114:114,"AAAAAHnvX+0=",0)</f>
        <v>0</v>
      </c>
      <c r="IE8" s="1">
        <f>IF('Maxi 1'!115:115,"AAAAAHnvX+4=",0)</f>
        <v>0</v>
      </c>
      <c r="IF8" s="1">
        <f>IF('Maxi 1'!116:116,"AAAAAHnvX+8=",0)</f>
        <v>0</v>
      </c>
      <c r="IG8" s="1">
        <f>IF('Maxi 1'!117:117,"AAAAAHnvX/A=",0)</f>
        <v>0</v>
      </c>
      <c r="IH8" s="1">
        <f>IF('Maxi 1'!118:118,"AAAAAHnvX/E=",0)</f>
        <v>0</v>
      </c>
      <c r="II8" s="1">
        <f>IF('Maxi 1'!119:119,"AAAAAHnvX/I=",0)</f>
        <v>0</v>
      </c>
      <c r="IJ8" s="1">
        <f>IF('Maxi 1'!120:120,"AAAAAHnvX/M=",0)</f>
        <v>0</v>
      </c>
      <c r="IK8" s="1">
        <f>IF('Maxi 1'!121:121,"AAAAAHnvX/Q=",0)</f>
        <v>0</v>
      </c>
      <c r="IL8" s="1">
        <f>IF('Maxi 1'!122:122,"AAAAAHnvX/U=",0)</f>
        <v>0</v>
      </c>
      <c r="IM8" s="1">
        <f>IF('Maxi 1'!123:123,"AAAAAHnvX/Y=",0)</f>
        <v>0</v>
      </c>
      <c r="IN8" s="1">
        <f>IF('Maxi 1'!124:124,"AAAAAHnvX/c=",0)</f>
        <v>0</v>
      </c>
      <c r="IO8" s="1">
        <f>IF('Maxi 1'!125:125,"AAAAAHnvX/g=",0)</f>
        <v>0</v>
      </c>
      <c r="IP8" s="1">
        <f>IF('Maxi 1'!126:126,"AAAAAHnvX/k=",0)</f>
        <v>0</v>
      </c>
      <c r="IQ8" s="1">
        <f>IF('Maxi 1'!127:127,"AAAAAHnvX/o=",0)</f>
        <v>0</v>
      </c>
      <c r="IR8" s="1">
        <f>IF('Maxi 1'!128:128,"AAAAAHnvX/s=",0)</f>
        <v>0</v>
      </c>
      <c r="IS8" s="1">
        <f>IF('Maxi 1'!129:129,"AAAAAHnvX/w=",0)</f>
        <v>0</v>
      </c>
      <c r="IT8" s="1">
        <f>IF('Maxi 1'!130:130,"AAAAAHnvX/0=",0)</f>
        <v>0</v>
      </c>
      <c r="IU8" s="1">
        <f>IF('Maxi 1'!131:131,"AAAAAHnvX/4=",0)</f>
        <v>0</v>
      </c>
      <c r="IV8" s="1">
        <f>IF('Maxi 1'!132:132,"AAAAAHnvX/8=",0)</f>
        <v>0</v>
      </c>
    </row>
    <row r="9" spans="1:256" ht="15" customHeight="1" x14ac:dyDescent="0.2">
      <c r="A9" s="1">
        <f>IF('Maxi 1'!133:133,"AAAAAC9N9QA=",0)</f>
        <v>0</v>
      </c>
      <c r="B9" s="1">
        <f>IF('Maxi 1'!134:134,"AAAAAC9N9QE=",0)</f>
        <v>0</v>
      </c>
      <c r="C9" s="1">
        <f>IF('Maxi 1'!135:135,"AAAAAC9N9QI=",0)</f>
        <v>0</v>
      </c>
      <c r="D9" s="1">
        <f>IF('Maxi 1'!136:136,"AAAAAC9N9QM=",0)</f>
        <v>0</v>
      </c>
      <c r="E9" s="1">
        <f>IF('Maxi 1'!137:137,"AAAAAC9N9QQ=",0)</f>
        <v>0</v>
      </c>
      <c r="F9" s="1">
        <f>IF('Maxi 1'!138:138,"AAAAAC9N9QU=",0)</f>
        <v>0</v>
      </c>
      <c r="G9" s="1">
        <f>IF('Maxi 1'!139:139,"AAAAAC9N9QY=",0)</f>
        <v>0</v>
      </c>
      <c r="H9" s="1">
        <f>IF('Maxi 1'!140:140,"AAAAAC9N9Qc=",0)</f>
        <v>0</v>
      </c>
      <c r="I9" s="1">
        <f>IF('Maxi 1'!141:141,"AAAAAC9N9Qg=",0)</f>
        <v>0</v>
      </c>
      <c r="J9" s="1">
        <f>IF('Maxi 1'!142:142,"AAAAAC9N9Qk=",0)</f>
        <v>0</v>
      </c>
      <c r="K9" s="1">
        <f>IF('Maxi 1'!143:143,"AAAAAC9N9Qo=",0)</f>
        <v>0</v>
      </c>
      <c r="L9" s="1">
        <f>IF('Maxi 1'!144:144,"AAAAAC9N9Qs=",0)</f>
        <v>0</v>
      </c>
      <c r="M9" s="1">
        <f>IF('Maxi 1'!145:145,"AAAAAC9N9Qw=",0)</f>
        <v>0</v>
      </c>
      <c r="N9" s="1">
        <f>IF('Maxi 1'!146:146,"AAAAAC9N9Q0=",0)</f>
        <v>0</v>
      </c>
      <c r="O9" s="1">
        <f>IF('Maxi 1'!147:147,"AAAAAC9N9Q4=",0)</f>
        <v>0</v>
      </c>
      <c r="P9" s="1">
        <f>IF('Maxi 1'!148:148,"AAAAAC9N9Q8=",0)</f>
        <v>0</v>
      </c>
      <c r="Q9" s="1">
        <f>IF('Maxi 1'!149:149,"AAAAAC9N9RA=",0)</f>
        <v>0</v>
      </c>
      <c r="R9" s="1">
        <f>IF('Maxi 1'!150:150,"AAAAAC9N9RE=",0)</f>
        <v>0</v>
      </c>
      <c r="S9" s="1">
        <f>IF('Maxi 1'!151:151,"AAAAAC9N9RI=",0)</f>
        <v>0</v>
      </c>
      <c r="T9" s="1">
        <f>IF('Maxi 1'!152:152,"AAAAAC9N9RM=",0)</f>
        <v>0</v>
      </c>
      <c r="U9" s="1">
        <f>IF('Maxi 1'!153:153,"AAAAAC9N9RQ=",0)</f>
        <v>0</v>
      </c>
      <c r="V9" s="1">
        <f>IF('Maxi 1'!154:154,"AAAAAC9N9RU=",0)</f>
        <v>0</v>
      </c>
      <c r="W9" s="1">
        <f>IF('Maxi 1'!155:155,"AAAAAC9N9RY=",0)</f>
        <v>0</v>
      </c>
      <c r="X9" s="1">
        <f>IF('Maxi 1'!156:156,"AAAAAC9N9Rc=",0)</f>
        <v>0</v>
      </c>
      <c r="Y9" s="1">
        <f>IF('Maxi 1'!157:157,"AAAAAC9N9Rg=",0)</f>
        <v>0</v>
      </c>
      <c r="Z9" s="1">
        <f>IF('Maxi 1'!158:158,"AAAAAC9N9Rk=",0)</f>
        <v>0</v>
      </c>
      <c r="AA9" s="1">
        <f>IF('Maxi 1'!159:159,"AAAAAC9N9Ro=",0)</f>
        <v>0</v>
      </c>
      <c r="AB9" s="1">
        <f>IF('Maxi 1'!160:160,"AAAAAC9N9Rs=",0)</f>
        <v>0</v>
      </c>
      <c r="AC9" s="1">
        <f>IF('Maxi 1'!161:161,"AAAAAC9N9Rw=",0)</f>
        <v>0</v>
      </c>
      <c r="AD9" s="1">
        <f>IF('Maxi 1'!162:162,"AAAAAC9N9R0=",0)</f>
        <v>0</v>
      </c>
      <c r="AE9" s="1">
        <f>IF('Maxi 1'!163:163,"AAAAAC9N9R4=",0)</f>
        <v>0</v>
      </c>
      <c r="AF9" s="1">
        <f>IF('Maxi 1'!164:164,"AAAAAC9N9R8=",0)</f>
        <v>0</v>
      </c>
      <c r="AG9" s="1">
        <f>IF('Maxi 1'!165:165,"AAAAAC9N9SA=",0)</f>
        <v>0</v>
      </c>
      <c r="AH9" s="1">
        <f>IF('Maxi 1'!166:166,"AAAAAC9N9SE=",0)</f>
        <v>0</v>
      </c>
      <c r="AI9" s="1">
        <f>IF('Maxi 1'!167:167,"AAAAAC9N9SI=",0)</f>
        <v>0</v>
      </c>
      <c r="AJ9" s="1">
        <f>IF('Maxi 1'!168:168,"AAAAAC9N9SM=",0)</f>
        <v>0</v>
      </c>
      <c r="AK9" s="1">
        <f>IF('Maxi 1'!169:169,"AAAAAC9N9SQ=",0)</f>
        <v>0</v>
      </c>
      <c r="AL9" s="1">
        <f>IF('Maxi 1'!170:170,"AAAAAC9N9SU=",0)</f>
        <v>0</v>
      </c>
      <c r="AM9" s="1">
        <f>IF('Maxi 1'!171:171,"AAAAAC9N9SY=",0)</f>
        <v>0</v>
      </c>
      <c r="AN9" s="1" t="e">
        <f>IF('Maxi 1'!A:A,"AAAAAC9N9Sc=",0)</f>
        <v>#VALUE!</v>
      </c>
      <c r="AO9" s="1" t="e">
        <f>IF('Maxi 1'!B:B,"AAAAAC9N9Sg=",0)</f>
        <v>#VALUE!</v>
      </c>
      <c r="AP9" s="1">
        <f>IF('Maxi 1'!C:C,"AAAAAC9N9Sk=",0)</f>
        <v>0</v>
      </c>
      <c r="AQ9" s="1">
        <f>IF('Maxi 1'!D:D,"AAAAAC9N9So=",0)</f>
        <v>0</v>
      </c>
      <c r="AR9" s="1">
        <f>IF('Maxi 1'!E:E,"AAAAAC9N9Ss=",0)</f>
        <v>0</v>
      </c>
      <c r="AS9" s="1">
        <f>IF('Maxi 1'!F:F,"AAAAAC9N9Sw=",0)</f>
        <v>0</v>
      </c>
      <c r="AT9" s="1">
        <f>IF('Maxi 1'!G:G,"AAAAAC9N9S0=",0)</f>
        <v>0</v>
      </c>
      <c r="AU9" s="1">
        <f>IF('Maxi 1'!H:H,"AAAAAC9N9S4=",0)</f>
        <v>0</v>
      </c>
      <c r="AV9" s="1">
        <f>IF('Maxi 1'!I:I,"AAAAAC9N9S8=",0)</f>
        <v>0</v>
      </c>
      <c r="AW9" s="1">
        <f>IF('Maxi 1'!J:J,"AAAAAC9N9TA=",0)</f>
        <v>0</v>
      </c>
      <c r="AX9" s="1">
        <f>IF('Maxi 1'!K:K,"AAAAAC9N9TE=",0)</f>
        <v>0</v>
      </c>
      <c r="AY9" s="1">
        <f>IF('Maxi 1'!L:L,"AAAAAC9N9TI=",0)</f>
        <v>0</v>
      </c>
      <c r="AZ9" s="1">
        <f>IF('Maxi 1'!M:M,"AAAAAC9N9TM=",0)</f>
        <v>0</v>
      </c>
      <c r="BA9" s="1">
        <f>IF('Maxi 1'!N:N,"AAAAAC9N9TQ=",0)</f>
        <v>0</v>
      </c>
      <c r="BB9" s="1">
        <f>IF('Maxi 1'!O:O,"AAAAAC9N9TU=",0)</f>
        <v>0</v>
      </c>
      <c r="BC9" s="1">
        <f>IF('Maxi 1'!P:P,"AAAAAC9N9TY=",0)</f>
        <v>0</v>
      </c>
      <c r="BD9" s="1">
        <f>IF('Maxi 1'!Q:Q,"AAAAAC9N9Tc=",0)</f>
        <v>0</v>
      </c>
      <c r="BE9" s="1">
        <f>IF('Maxi 1'!R:R,"AAAAAC9N9Tg=",0)</f>
        <v>0</v>
      </c>
      <c r="BF9" s="1">
        <f>IF('Maxi 1'!S:S,"AAAAAC9N9Tk=",0)</f>
        <v>0</v>
      </c>
      <c r="BG9" s="1">
        <f>IF('Maxi 1'!T:T,"AAAAAC9N9To=",0)</f>
        <v>0</v>
      </c>
      <c r="BH9" s="1">
        <f>IF('Maxi 1'!U:U,"AAAAAC9N9Ts=",0)</f>
        <v>0</v>
      </c>
      <c r="BI9" s="1">
        <f>IF('Maxi 1'!V:V,"AAAAAC9N9Tw=",0)</f>
        <v>0</v>
      </c>
      <c r="BJ9" s="1">
        <f>IF('Maxi 1'!W:W,"AAAAAC9N9T0=",0)</f>
        <v>0</v>
      </c>
      <c r="BK9" s="1">
        <f>IF('Maxi 1'!X:X,"AAAAAC9N9T4=",0)</f>
        <v>0</v>
      </c>
      <c r="BL9" s="1">
        <f>IF('Maxi 1'!Y:Y,"AAAAAC9N9T8=",0)</f>
        <v>0</v>
      </c>
      <c r="BM9" s="1">
        <f>IF('Maxi 1'!Z:Z,"AAAAAC9N9UA=",0)</f>
        <v>0</v>
      </c>
      <c r="BN9" s="1">
        <f>IF('Maxi 1'!AA:AA,"AAAAAC9N9UE=",0)</f>
        <v>0</v>
      </c>
      <c r="BO9" s="1" t="e">
        <f>IF(#REF!,"AAAAAC9N9UI=",0)</f>
        <v>#REF!</v>
      </c>
      <c r="BP9" s="1" t="e">
        <f>AND(#REF!,"AAAAAC9N9UM=")</f>
        <v>#REF!</v>
      </c>
      <c r="BQ9" s="1" t="e">
        <f>AND(#REF!,"AAAAAC9N9UQ=")</f>
        <v>#REF!</v>
      </c>
      <c r="BR9" s="1" t="e">
        <f>AND(#REF!,"AAAAAC9N9UU=")</f>
        <v>#REF!</v>
      </c>
      <c r="BS9" s="1" t="e">
        <f>AND(#REF!,"AAAAAC9N9UY=")</f>
        <v>#REF!</v>
      </c>
      <c r="BT9" s="1" t="e">
        <f>AND(#REF!,"AAAAAC9N9Uc=")</f>
        <v>#REF!</v>
      </c>
      <c r="BU9" s="1" t="e">
        <f>AND(#REF!,"AAAAAC9N9Ug=")</f>
        <v>#REF!</v>
      </c>
      <c r="BV9" s="1" t="e">
        <f>AND(#REF!,"AAAAAC9N9Uk=")</f>
        <v>#REF!</v>
      </c>
      <c r="BW9" s="1" t="e">
        <f>AND(#REF!,"AAAAAC9N9Uo=")</f>
        <v>#REF!</v>
      </c>
      <c r="BX9" s="1" t="e">
        <f>AND(#REF!,"AAAAAC9N9Us=")</f>
        <v>#REF!</v>
      </c>
      <c r="BY9" s="1" t="e">
        <f>AND(#REF!,"AAAAAC9N9Uw=")</f>
        <v>#REF!</v>
      </c>
      <c r="BZ9" s="1" t="e">
        <f>AND(#REF!,"AAAAAC9N9U0=")</f>
        <v>#REF!</v>
      </c>
      <c r="CA9" s="1" t="e">
        <f>AND(#REF!,"AAAAAC9N9U4=")</f>
        <v>#REF!</v>
      </c>
      <c r="CB9" s="1" t="e">
        <f>AND(#REF!,"AAAAAC9N9U8=")</f>
        <v>#REF!</v>
      </c>
      <c r="CC9" s="1" t="e">
        <f>AND(#REF!,"AAAAAC9N9VA=")</f>
        <v>#REF!</v>
      </c>
      <c r="CD9" s="1" t="e">
        <f>AND(#REF!,"AAAAAC9N9VE=")</f>
        <v>#REF!</v>
      </c>
      <c r="CE9" s="1" t="e">
        <f>AND(#REF!,"AAAAAC9N9VI=")</f>
        <v>#REF!</v>
      </c>
      <c r="CF9" s="1" t="e">
        <f>AND(#REF!,"AAAAAC9N9VM=")</f>
        <v>#REF!</v>
      </c>
      <c r="CG9" s="1" t="e">
        <f>AND(#REF!,"AAAAAC9N9VQ=")</f>
        <v>#REF!</v>
      </c>
      <c r="CH9" s="1" t="e">
        <f>AND(#REF!,"AAAAAC9N9VU=")</f>
        <v>#REF!</v>
      </c>
      <c r="CI9" s="1" t="e">
        <f>AND(#REF!,"AAAAAC9N9VY=")</f>
        <v>#REF!</v>
      </c>
      <c r="CJ9" s="1" t="e">
        <f>AND(#REF!,"AAAAAC9N9Vc=")</f>
        <v>#REF!</v>
      </c>
      <c r="CK9" s="1" t="e">
        <f>AND(#REF!,"AAAAAC9N9Vg=")</f>
        <v>#REF!</v>
      </c>
      <c r="CL9" s="1" t="e">
        <f>AND(#REF!,"AAAAAC9N9Vk=")</f>
        <v>#REF!</v>
      </c>
      <c r="CM9" s="1" t="e">
        <f>AND(#REF!,"AAAAAC9N9Vo=")</f>
        <v>#REF!</v>
      </c>
      <c r="CN9" s="1" t="e">
        <f>AND(#REF!,"AAAAAC9N9Vs=")</f>
        <v>#REF!</v>
      </c>
      <c r="CO9" s="1" t="e">
        <f>AND(#REF!,"AAAAAC9N9Vw=")</f>
        <v>#REF!</v>
      </c>
      <c r="CP9" s="1" t="e">
        <f>AND(#REF!,"AAAAAC9N9V0=")</f>
        <v>#REF!</v>
      </c>
      <c r="CQ9" s="1" t="e">
        <f>AND(#REF!,"AAAAAC9N9V4=")</f>
        <v>#REF!</v>
      </c>
      <c r="CR9" s="1" t="e">
        <f>AND(#REF!,"AAAAAC9N9V8=")</f>
        <v>#REF!</v>
      </c>
      <c r="CS9" s="1" t="e">
        <f>AND(#REF!,"AAAAAC9N9WA=")</f>
        <v>#REF!</v>
      </c>
      <c r="CT9" s="1" t="e">
        <f>AND(#REF!,"AAAAAC9N9WE=")</f>
        <v>#REF!</v>
      </c>
      <c r="CU9" s="1" t="e">
        <f>AND(#REF!,"AAAAAC9N9WI=")</f>
        <v>#REF!</v>
      </c>
      <c r="CV9" s="1" t="e">
        <f>AND(#REF!,"AAAAAC9N9WM=")</f>
        <v>#REF!</v>
      </c>
      <c r="CW9" s="1" t="e">
        <f>AND(#REF!,"AAAAAC9N9WQ=")</f>
        <v>#REF!</v>
      </c>
      <c r="CX9" s="1" t="e">
        <f>AND(#REF!,"AAAAAC9N9WU=")</f>
        <v>#REF!</v>
      </c>
      <c r="CY9" s="1" t="e">
        <f>AND(#REF!,"AAAAAC9N9WY=")</f>
        <v>#REF!</v>
      </c>
      <c r="CZ9" s="1" t="e">
        <f>AND(#REF!,"AAAAAC9N9Wc=")</f>
        <v>#REF!</v>
      </c>
      <c r="DA9" s="1" t="e">
        <f>AND(#REF!,"AAAAAC9N9Wg=")</f>
        <v>#REF!</v>
      </c>
      <c r="DB9" s="1" t="e">
        <f>AND(#REF!,"AAAAAC9N9Wk=")</f>
        <v>#REF!</v>
      </c>
      <c r="DC9" s="1" t="e">
        <f>AND(#REF!,"AAAAAC9N9Wo=")</f>
        <v>#REF!</v>
      </c>
      <c r="DD9" s="1" t="e">
        <f>AND(#REF!,"AAAAAC9N9Ws=")</f>
        <v>#REF!</v>
      </c>
      <c r="DE9" s="1" t="e">
        <f>AND(#REF!,"AAAAAC9N9Ww=")</f>
        <v>#REF!</v>
      </c>
      <c r="DF9" s="1" t="e">
        <f>AND(#REF!,"AAAAAC9N9W0=")</f>
        <v>#REF!</v>
      </c>
      <c r="DG9" s="1" t="e">
        <f>AND(#REF!,"AAAAAC9N9W4=")</f>
        <v>#REF!</v>
      </c>
      <c r="DH9" s="1" t="e">
        <f>AND(#REF!,"AAAAAC9N9W8=")</f>
        <v>#REF!</v>
      </c>
      <c r="DI9" s="1" t="e">
        <f>AND(#REF!,"AAAAAC9N9XA=")</f>
        <v>#REF!</v>
      </c>
      <c r="DJ9" s="1" t="e">
        <f>AND(#REF!,"AAAAAC9N9XE=")</f>
        <v>#REF!</v>
      </c>
      <c r="DK9" s="1" t="e">
        <f>AND(#REF!,"AAAAAC9N9XI=")</f>
        <v>#REF!</v>
      </c>
      <c r="DL9" s="1" t="e">
        <f>AND(#REF!,"AAAAAC9N9XM=")</f>
        <v>#REF!</v>
      </c>
      <c r="DM9" s="1" t="e">
        <f>AND(#REF!,"AAAAAC9N9XQ=")</f>
        <v>#REF!</v>
      </c>
      <c r="DN9" s="1" t="e">
        <f>AND(#REF!,"AAAAAC9N9XU=")</f>
        <v>#REF!</v>
      </c>
      <c r="DO9" s="1" t="e">
        <f>AND(#REF!,"AAAAAC9N9XY=")</f>
        <v>#REF!</v>
      </c>
      <c r="DP9" s="1" t="e">
        <f>AND(#REF!,"AAAAAC9N9Xc=")</f>
        <v>#REF!</v>
      </c>
      <c r="DQ9" s="1" t="e">
        <f>AND(#REF!,"AAAAAC9N9Xg=")</f>
        <v>#REF!</v>
      </c>
      <c r="DR9" s="1" t="e">
        <f>AND(#REF!,"AAAAAC9N9Xk=")</f>
        <v>#REF!</v>
      </c>
      <c r="DS9" s="1" t="e">
        <f>AND(#REF!,"AAAAAC9N9Xo=")</f>
        <v>#REF!</v>
      </c>
      <c r="DT9" s="1" t="e">
        <f>AND(#REF!,"AAAAAC9N9Xs=")</f>
        <v>#REF!</v>
      </c>
      <c r="DU9" s="1" t="e">
        <f>AND(#REF!,"AAAAAC9N9Xw=")</f>
        <v>#REF!</v>
      </c>
      <c r="DV9" s="1" t="e">
        <f>AND(#REF!,"AAAAAC9N9X0=")</f>
        <v>#REF!</v>
      </c>
      <c r="DW9" s="1" t="e">
        <f>AND(#REF!,"AAAAAC9N9X4=")</f>
        <v>#REF!</v>
      </c>
      <c r="DX9" s="1" t="e">
        <f>AND(#REF!,"AAAAAC9N9X8=")</f>
        <v>#REF!</v>
      </c>
      <c r="DY9" s="1" t="e">
        <f>AND(#REF!,"AAAAAC9N9YA=")</f>
        <v>#REF!</v>
      </c>
      <c r="DZ9" s="1" t="e">
        <f>AND(#REF!,"AAAAAC9N9YE=")</f>
        <v>#REF!</v>
      </c>
      <c r="EA9" s="1" t="e">
        <f>AND(#REF!,"AAAAAC9N9YI=")</f>
        <v>#REF!</v>
      </c>
      <c r="EB9" s="1" t="e">
        <f>AND(#REF!,"AAAAAC9N9YM=")</f>
        <v>#REF!</v>
      </c>
      <c r="EC9" s="1" t="e">
        <f>AND(#REF!,"AAAAAC9N9YQ=")</f>
        <v>#REF!</v>
      </c>
      <c r="ED9" s="1" t="e">
        <f>AND(#REF!,"AAAAAC9N9YU=")</f>
        <v>#REF!</v>
      </c>
      <c r="EE9" s="1" t="e">
        <f>AND(#REF!,"AAAAAC9N9YY=")</f>
        <v>#REF!</v>
      </c>
      <c r="EF9" s="1" t="e">
        <f>AND(#REF!,"AAAAAC9N9Yc=")</f>
        <v>#REF!</v>
      </c>
      <c r="EG9" s="1" t="e">
        <f>AND(#REF!,"AAAAAC9N9Yg=")</f>
        <v>#REF!</v>
      </c>
      <c r="EH9" s="1" t="e">
        <f>AND(#REF!,"AAAAAC9N9Yk=")</f>
        <v>#REF!</v>
      </c>
      <c r="EI9" s="1" t="e">
        <f>AND(#REF!,"AAAAAC9N9Yo=")</f>
        <v>#REF!</v>
      </c>
      <c r="EJ9" s="1" t="e">
        <f>AND(#REF!,"AAAAAC9N9Ys=")</f>
        <v>#REF!</v>
      </c>
      <c r="EK9" s="1" t="e">
        <f>AND(#REF!,"AAAAAC9N9Yw=")</f>
        <v>#REF!</v>
      </c>
      <c r="EL9" s="1" t="e">
        <f>AND(#REF!,"AAAAAC9N9Y0=")</f>
        <v>#REF!</v>
      </c>
      <c r="EM9" s="1" t="e">
        <f>AND(#REF!,"AAAAAC9N9Y4=")</f>
        <v>#REF!</v>
      </c>
      <c r="EN9" s="1" t="e">
        <f>AND(#REF!,"AAAAAC9N9Y8=")</f>
        <v>#REF!</v>
      </c>
      <c r="EO9" s="1" t="e">
        <f>AND(#REF!,"AAAAAC9N9ZA=")</f>
        <v>#REF!</v>
      </c>
      <c r="EP9" s="1" t="e">
        <f>AND(#REF!,"AAAAAC9N9ZE=")</f>
        <v>#REF!</v>
      </c>
      <c r="EQ9" s="1" t="e">
        <f>AND(#REF!,"AAAAAC9N9ZI=")</f>
        <v>#REF!</v>
      </c>
      <c r="ER9" s="1" t="e">
        <f>AND(#REF!,"AAAAAC9N9ZM=")</f>
        <v>#REF!</v>
      </c>
      <c r="ES9" s="1" t="e">
        <f>AND(#REF!,"AAAAAC9N9ZQ=")</f>
        <v>#REF!</v>
      </c>
      <c r="ET9" s="1" t="e">
        <f>AND(#REF!,"AAAAAC9N9ZU=")</f>
        <v>#REF!</v>
      </c>
      <c r="EU9" s="1" t="e">
        <f>AND(#REF!,"AAAAAC9N9ZY=")</f>
        <v>#REF!</v>
      </c>
      <c r="EV9" s="1" t="e">
        <f>AND(#REF!,"AAAAAC9N9Zc=")</f>
        <v>#REF!</v>
      </c>
      <c r="EW9" s="1" t="e">
        <f>AND(#REF!,"AAAAAC9N9Zg=")</f>
        <v>#REF!</v>
      </c>
      <c r="EX9" s="1" t="e">
        <f>AND(#REF!,"AAAAAC9N9Zk=")</f>
        <v>#REF!</v>
      </c>
      <c r="EY9" s="1" t="e">
        <f>AND(#REF!,"AAAAAC9N9Zo=")</f>
        <v>#REF!</v>
      </c>
      <c r="EZ9" s="1" t="e">
        <f>AND(#REF!,"AAAAAC9N9Zs=")</f>
        <v>#REF!</v>
      </c>
      <c r="FA9" s="1" t="e">
        <f>AND(#REF!,"AAAAAC9N9Zw=")</f>
        <v>#REF!</v>
      </c>
      <c r="FB9" s="1" t="e">
        <f>AND(#REF!,"AAAAAC9N9Z0=")</f>
        <v>#REF!</v>
      </c>
      <c r="FC9" s="1" t="e">
        <f>AND(#REF!,"AAAAAC9N9Z4=")</f>
        <v>#REF!</v>
      </c>
      <c r="FD9" s="1" t="e">
        <f>AND(#REF!,"AAAAAC9N9Z8=")</f>
        <v>#REF!</v>
      </c>
      <c r="FE9" s="1" t="e">
        <f>AND(#REF!,"AAAAAC9N9aA=")</f>
        <v>#REF!</v>
      </c>
      <c r="FF9" s="1" t="e">
        <f>AND(#REF!,"AAAAAC9N9aE=")</f>
        <v>#REF!</v>
      </c>
      <c r="FG9" s="1" t="e">
        <f>AND(#REF!,"AAAAAC9N9aI=")</f>
        <v>#REF!</v>
      </c>
      <c r="FH9" s="1" t="e">
        <f>AND(#REF!,"AAAAAC9N9aM=")</f>
        <v>#REF!</v>
      </c>
      <c r="FI9" s="1" t="e">
        <f>AND(#REF!,"AAAAAC9N9aQ=")</f>
        <v>#REF!</v>
      </c>
      <c r="FJ9" s="1" t="e">
        <f>AND(#REF!,"AAAAAC9N9aU=")</f>
        <v>#REF!</v>
      </c>
      <c r="FK9" s="1" t="e">
        <f>AND(#REF!,"AAAAAC9N9aY=")</f>
        <v>#REF!</v>
      </c>
      <c r="FL9" s="1" t="e">
        <f>AND(#REF!,"AAAAAC9N9ac=")</f>
        <v>#REF!</v>
      </c>
      <c r="FM9" s="1" t="e">
        <f>AND(#REF!,"AAAAAC9N9ag=")</f>
        <v>#REF!</v>
      </c>
      <c r="FN9" s="1" t="e">
        <f>IF(#REF!,"AAAAAC9N9ak=",0)</f>
        <v>#REF!</v>
      </c>
      <c r="FO9" s="1" t="e">
        <f>AND(#REF!,"AAAAAC9N9ao=")</f>
        <v>#REF!</v>
      </c>
      <c r="FP9" s="1" t="e">
        <f>AND(#REF!,"AAAAAC9N9as=")</f>
        <v>#REF!</v>
      </c>
      <c r="FQ9" s="1" t="e">
        <f>AND(#REF!,"AAAAAC9N9aw=")</f>
        <v>#REF!</v>
      </c>
      <c r="FR9" s="1" t="e">
        <f>AND(#REF!,"AAAAAC9N9a0=")</f>
        <v>#REF!</v>
      </c>
      <c r="FS9" s="1" t="e">
        <f>AND(#REF!,"AAAAAC9N9a4=")</f>
        <v>#REF!</v>
      </c>
      <c r="FT9" s="1" t="e">
        <f>AND(#REF!,"AAAAAC9N9a8=")</f>
        <v>#REF!</v>
      </c>
      <c r="FU9" s="1" t="e">
        <f>AND(#REF!,"AAAAAC9N9bA=")</f>
        <v>#REF!</v>
      </c>
      <c r="FV9" s="1" t="e">
        <f>AND(#REF!,"AAAAAC9N9bE=")</f>
        <v>#REF!</v>
      </c>
      <c r="FW9" s="1" t="e">
        <f>AND(#REF!,"AAAAAC9N9bI=")</f>
        <v>#REF!</v>
      </c>
      <c r="FX9" s="1" t="e">
        <f>AND(#REF!,"AAAAAC9N9bM=")</f>
        <v>#REF!</v>
      </c>
      <c r="FY9" s="1" t="e">
        <f>AND(#REF!,"AAAAAC9N9bQ=")</f>
        <v>#REF!</v>
      </c>
      <c r="FZ9" s="1" t="e">
        <f>AND(#REF!,"AAAAAC9N9bU=")</f>
        <v>#REF!</v>
      </c>
      <c r="GA9" s="1" t="e">
        <f>AND(#REF!,"AAAAAC9N9bY=")</f>
        <v>#REF!</v>
      </c>
      <c r="GB9" s="1" t="e">
        <f>AND(#REF!,"AAAAAC9N9bc=")</f>
        <v>#REF!</v>
      </c>
      <c r="GC9" s="1" t="e">
        <f>AND(#REF!,"AAAAAC9N9bg=")</f>
        <v>#REF!</v>
      </c>
      <c r="GD9" s="1" t="e">
        <f>AND(#REF!,"AAAAAC9N9bk=")</f>
        <v>#REF!</v>
      </c>
      <c r="GE9" s="1" t="e">
        <f>AND(#REF!,"AAAAAC9N9bo=")</f>
        <v>#REF!</v>
      </c>
      <c r="GF9" s="1" t="e">
        <f>AND(#REF!,"AAAAAC9N9bs=")</f>
        <v>#REF!</v>
      </c>
      <c r="GG9" s="1" t="e">
        <f>AND(#REF!,"AAAAAC9N9bw=")</f>
        <v>#REF!</v>
      </c>
      <c r="GH9" s="1" t="e">
        <f>AND(#REF!,"AAAAAC9N9b0=")</f>
        <v>#REF!</v>
      </c>
      <c r="GI9" s="1" t="e">
        <f>AND(#REF!,"AAAAAC9N9b4=")</f>
        <v>#REF!</v>
      </c>
      <c r="GJ9" s="1" t="e">
        <f>AND(#REF!,"AAAAAC9N9b8=")</f>
        <v>#REF!</v>
      </c>
      <c r="GK9" s="1" t="e">
        <f>AND(#REF!,"AAAAAC9N9cA=")</f>
        <v>#REF!</v>
      </c>
      <c r="GL9" s="1" t="e">
        <f>AND(#REF!,"AAAAAC9N9cE=")</f>
        <v>#REF!</v>
      </c>
      <c r="GM9" s="1" t="e">
        <f>AND(#REF!,"AAAAAC9N9cI=")</f>
        <v>#REF!</v>
      </c>
      <c r="GN9" s="1" t="e">
        <f>AND(#REF!,"AAAAAC9N9cM=")</f>
        <v>#REF!</v>
      </c>
      <c r="GO9" s="1" t="e">
        <f>AND(#REF!,"AAAAAC9N9cQ=")</f>
        <v>#REF!</v>
      </c>
      <c r="GP9" s="1" t="e">
        <f>AND(#REF!,"AAAAAC9N9cU=")</f>
        <v>#REF!</v>
      </c>
      <c r="GQ9" s="1" t="e">
        <f>AND(#REF!,"AAAAAC9N9cY=")</f>
        <v>#REF!</v>
      </c>
      <c r="GR9" s="1" t="e">
        <f>AND(#REF!,"AAAAAC9N9cc=")</f>
        <v>#REF!</v>
      </c>
      <c r="GS9" s="1" t="e">
        <f>AND(#REF!,"AAAAAC9N9cg=")</f>
        <v>#REF!</v>
      </c>
      <c r="GT9" s="1" t="e">
        <f>AND(#REF!,"AAAAAC9N9ck=")</f>
        <v>#REF!</v>
      </c>
      <c r="GU9" s="1" t="e">
        <f>AND(#REF!,"AAAAAC9N9co=")</f>
        <v>#REF!</v>
      </c>
      <c r="GV9" s="1" t="e">
        <f>AND(#REF!,"AAAAAC9N9cs=")</f>
        <v>#REF!</v>
      </c>
      <c r="GW9" s="1" t="e">
        <f>AND(#REF!,"AAAAAC9N9cw=")</f>
        <v>#REF!</v>
      </c>
      <c r="GX9" s="1" t="e">
        <f>AND(#REF!,"AAAAAC9N9c0=")</f>
        <v>#REF!</v>
      </c>
      <c r="GY9" s="1" t="e">
        <f>AND(#REF!,"AAAAAC9N9c4=")</f>
        <v>#REF!</v>
      </c>
      <c r="GZ9" s="1" t="e">
        <f>AND(#REF!,"AAAAAC9N9c8=")</f>
        <v>#REF!</v>
      </c>
      <c r="HA9" s="1" t="e">
        <f>AND(#REF!,"AAAAAC9N9dA=")</f>
        <v>#REF!</v>
      </c>
      <c r="HB9" s="1" t="e">
        <f>AND(#REF!,"AAAAAC9N9dE=")</f>
        <v>#REF!</v>
      </c>
      <c r="HC9" s="1" t="e">
        <f>AND(#REF!,"AAAAAC9N9dI=")</f>
        <v>#REF!</v>
      </c>
      <c r="HD9" s="1" t="e">
        <f>AND(#REF!,"AAAAAC9N9dM=")</f>
        <v>#REF!</v>
      </c>
      <c r="HE9" s="1" t="e">
        <f>AND(#REF!,"AAAAAC9N9dQ=")</f>
        <v>#REF!</v>
      </c>
      <c r="HF9" s="1" t="e">
        <f>AND(#REF!,"AAAAAC9N9dU=")</f>
        <v>#REF!</v>
      </c>
      <c r="HG9" s="1" t="e">
        <f>AND(#REF!,"AAAAAC9N9dY=")</f>
        <v>#REF!</v>
      </c>
      <c r="HH9" s="1" t="e">
        <f>AND(#REF!,"AAAAAC9N9dc=")</f>
        <v>#REF!</v>
      </c>
      <c r="HI9" s="1" t="e">
        <f>AND(#REF!,"AAAAAC9N9dg=")</f>
        <v>#REF!</v>
      </c>
      <c r="HJ9" s="1" t="e">
        <f>AND(#REF!,"AAAAAC9N9dk=")</f>
        <v>#REF!</v>
      </c>
      <c r="HK9" s="1" t="e">
        <f>AND(#REF!,"AAAAAC9N9do=")</f>
        <v>#REF!</v>
      </c>
      <c r="HL9" s="1" t="e">
        <f>AND(#REF!,"AAAAAC9N9ds=")</f>
        <v>#REF!</v>
      </c>
      <c r="HM9" s="1" t="e">
        <f>AND(#REF!,"AAAAAC9N9dw=")</f>
        <v>#REF!</v>
      </c>
      <c r="HN9" s="1" t="e">
        <f>AND(#REF!,"AAAAAC9N9d0=")</f>
        <v>#REF!</v>
      </c>
      <c r="HO9" s="1" t="e">
        <f>AND(#REF!,"AAAAAC9N9d4=")</f>
        <v>#REF!</v>
      </c>
      <c r="HP9" s="1" t="e">
        <f>AND(#REF!,"AAAAAC9N9d8=")</f>
        <v>#REF!</v>
      </c>
      <c r="HQ9" s="1" t="e">
        <f>AND(#REF!,"AAAAAC9N9eA=")</f>
        <v>#REF!</v>
      </c>
      <c r="HR9" s="1" t="e">
        <f>AND(#REF!,"AAAAAC9N9eE=")</f>
        <v>#REF!</v>
      </c>
      <c r="HS9" s="1" t="e">
        <f>AND(#REF!,"AAAAAC9N9eI=")</f>
        <v>#REF!</v>
      </c>
      <c r="HT9" s="1" t="e">
        <f>AND(#REF!,"AAAAAC9N9eM=")</f>
        <v>#REF!</v>
      </c>
      <c r="HU9" s="1" t="e">
        <f>AND(#REF!,"AAAAAC9N9eQ=")</f>
        <v>#REF!</v>
      </c>
      <c r="HV9" s="1" t="e">
        <f>AND(#REF!,"AAAAAC9N9eU=")</f>
        <v>#REF!</v>
      </c>
      <c r="HW9" s="1" t="e">
        <f>AND(#REF!,"AAAAAC9N9eY=")</f>
        <v>#REF!</v>
      </c>
      <c r="HX9" s="1" t="e">
        <f>AND(#REF!,"AAAAAC9N9ec=")</f>
        <v>#REF!</v>
      </c>
      <c r="HY9" s="1" t="e">
        <f>AND(#REF!,"AAAAAC9N9eg=")</f>
        <v>#REF!</v>
      </c>
      <c r="HZ9" s="1" t="e">
        <f>AND(#REF!,"AAAAAC9N9ek=")</f>
        <v>#REF!</v>
      </c>
      <c r="IA9" s="1" t="e">
        <f>AND(#REF!,"AAAAAC9N9eo=")</f>
        <v>#REF!</v>
      </c>
      <c r="IB9" s="1" t="e">
        <f>AND(#REF!,"AAAAAC9N9es=")</f>
        <v>#REF!</v>
      </c>
      <c r="IC9" s="1" t="e">
        <f>AND(#REF!,"AAAAAC9N9ew=")</f>
        <v>#REF!</v>
      </c>
      <c r="ID9" s="1" t="e">
        <f>AND(#REF!,"AAAAAC9N9e0=")</f>
        <v>#REF!</v>
      </c>
      <c r="IE9" s="1" t="e">
        <f>AND(#REF!,"AAAAAC9N9e4=")</f>
        <v>#REF!</v>
      </c>
      <c r="IF9" s="1" t="e">
        <f>AND(#REF!,"AAAAAC9N9e8=")</f>
        <v>#REF!</v>
      </c>
      <c r="IG9" s="1" t="e">
        <f>AND(#REF!,"AAAAAC9N9fA=")</f>
        <v>#REF!</v>
      </c>
      <c r="IH9" s="1" t="e">
        <f>AND(#REF!,"AAAAAC9N9fE=")</f>
        <v>#REF!</v>
      </c>
      <c r="II9" s="1" t="e">
        <f>AND(#REF!,"AAAAAC9N9fI=")</f>
        <v>#REF!</v>
      </c>
      <c r="IJ9" s="1" t="e">
        <f>AND(#REF!,"AAAAAC9N9fM=")</f>
        <v>#REF!</v>
      </c>
      <c r="IK9" s="1" t="e">
        <f>AND(#REF!,"AAAAAC9N9fQ=")</f>
        <v>#REF!</v>
      </c>
      <c r="IL9" s="1" t="e">
        <f>AND(#REF!,"AAAAAC9N9fU=")</f>
        <v>#REF!</v>
      </c>
      <c r="IM9" s="1" t="e">
        <f>AND(#REF!,"AAAAAC9N9fY=")</f>
        <v>#REF!</v>
      </c>
      <c r="IN9" s="1" t="e">
        <f>AND(#REF!,"AAAAAC9N9fc=")</f>
        <v>#REF!</v>
      </c>
      <c r="IO9" s="1" t="e">
        <f>AND(#REF!,"AAAAAC9N9fg=")</f>
        <v>#REF!</v>
      </c>
      <c r="IP9" s="1" t="e">
        <f>AND(#REF!,"AAAAAC9N9fk=")</f>
        <v>#REF!</v>
      </c>
      <c r="IQ9" s="1" t="e">
        <f>AND(#REF!,"AAAAAC9N9fo=")</f>
        <v>#REF!</v>
      </c>
      <c r="IR9" s="1" t="e">
        <f>AND(#REF!,"AAAAAC9N9fs=")</f>
        <v>#REF!</v>
      </c>
      <c r="IS9" s="1" t="e">
        <f>AND(#REF!,"AAAAAC9N9fw=")</f>
        <v>#REF!</v>
      </c>
      <c r="IT9" s="1" t="e">
        <f>AND(#REF!,"AAAAAC9N9f0=")</f>
        <v>#REF!</v>
      </c>
      <c r="IU9" s="1" t="e">
        <f>AND(#REF!,"AAAAAC9N9f4=")</f>
        <v>#REF!</v>
      </c>
      <c r="IV9" s="1" t="e">
        <f>AND(#REF!,"AAAAAC9N9f8=")</f>
        <v>#REF!</v>
      </c>
    </row>
    <row r="10" spans="1:256" ht="15" customHeight="1" x14ac:dyDescent="0.2">
      <c r="A10" s="1" t="e">
        <f>AND(#REF!,"AAAAAH/0OwA=")</f>
        <v>#REF!</v>
      </c>
      <c r="B10" s="1" t="e">
        <f>AND(#REF!,"AAAAAH/0OwE=")</f>
        <v>#REF!</v>
      </c>
      <c r="C10" s="1" t="e">
        <f>AND(#REF!,"AAAAAH/0OwI=")</f>
        <v>#REF!</v>
      </c>
      <c r="D10" s="1" t="e">
        <f>AND(#REF!,"AAAAAH/0OwM=")</f>
        <v>#REF!</v>
      </c>
      <c r="E10" s="1" t="e">
        <f>AND(#REF!,"AAAAAH/0OwQ=")</f>
        <v>#REF!</v>
      </c>
      <c r="F10" s="1" t="e">
        <f>AND(#REF!,"AAAAAH/0OwU=")</f>
        <v>#REF!</v>
      </c>
      <c r="G10" s="1" t="e">
        <f>AND(#REF!,"AAAAAH/0OwY=")</f>
        <v>#REF!</v>
      </c>
      <c r="H10" s="1" t="e">
        <f>AND(#REF!,"AAAAAH/0Owc=")</f>
        <v>#REF!</v>
      </c>
      <c r="I10" s="1" t="e">
        <f>AND(#REF!,"AAAAAH/0Owg=")</f>
        <v>#REF!</v>
      </c>
      <c r="J10" s="1" t="e">
        <f>AND(#REF!,"AAAAAH/0Owk=")</f>
        <v>#REF!</v>
      </c>
      <c r="K10" s="1" t="e">
        <f>AND(#REF!,"AAAAAH/0Owo=")</f>
        <v>#REF!</v>
      </c>
      <c r="L10" s="1" t="e">
        <f>AND(#REF!,"AAAAAH/0Ows=")</f>
        <v>#REF!</v>
      </c>
      <c r="M10" s="1" t="e">
        <f>AND(#REF!,"AAAAAH/0Oww=")</f>
        <v>#REF!</v>
      </c>
      <c r="N10" s="1" t="e">
        <f>AND(#REF!,"AAAAAH/0Ow0=")</f>
        <v>#REF!</v>
      </c>
      <c r="O10" s="1" t="e">
        <f>AND(#REF!,"AAAAAH/0Ow4=")</f>
        <v>#REF!</v>
      </c>
      <c r="P10" s="1" t="e">
        <f>AND(#REF!,"AAAAAH/0Ow8=")</f>
        <v>#REF!</v>
      </c>
      <c r="Q10" s="1" t="e">
        <f>IF(#REF!,"AAAAAH/0OxA=",0)</f>
        <v>#REF!</v>
      </c>
      <c r="R10" s="1" t="e">
        <f>AND(#REF!,"AAAAAH/0OxE=")</f>
        <v>#REF!</v>
      </c>
      <c r="S10" s="1" t="e">
        <f>AND(#REF!,"AAAAAH/0OxI=")</f>
        <v>#REF!</v>
      </c>
      <c r="T10" s="1" t="e">
        <f>AND(#REF!,"AAAAAH/0OxM=")</f>
        <v>#REF!</v>
      </c>
      <c r="U10" s="1" t="e">
        <f>AND(#REF!,"AAAAAH/0OxQ=")</f>
        <v>#REF!</v>
      </c>
      <c r="V10" s="1" t="e">
        <f>AND(#REF!,"AAAAAH/0OxU=")</f>
        <v>#REF!</v>
      </c>
      <c r="W10" s="1" t="e">
        <f>AND(#REF!,"AAAAAH/0OxY=")</f>
        <v>#REF!</v>
      </c>
      <c r="X10" s="1" t="e">
        <f>AND(#REF!,"AAAAAH/0Oxc=")</f>
        <v>#REF!</v>
      </c>
      <c r="Y10" s="1" t="e">
        <f>AND(#REF!,"AAAAAH/0Oxg=")</f>
        <v>#REF!</v>
      </c>
      <c r="Z10" s="1" t="e">
        <f>AND(#REF!,"AAAAAH/0Oxk=")</f>
        <v>#REF!</v>
      </c>
      <c r="AA10" s="1" t="e">
        <f>AND(#REF!,"AAAAAH/0Oxo=")</f>
        <v>#REF!</v>
      </c>
      <c r="AB10" s="1" t="e">
        <f>AND(#REF!,"AAAAAH/0Oxs=")</f>
        <v>#REF!</v>
      </c>
      <c r="AC10" s="1" t="e">
        <f>AND(#REF!,"AAAAAH/0Oxw=")</f>
        <v>#REF!</v>
      </c>
      <c r="AD10" s="1" t="e">
        <f>AND(#REF!,"AAAAAH/0Ox0=")</f>
        <v>#REF!</v>
      </c>
      <c r="AE10" s="1" t="e">
        <f>AND(#REF!,"AAAAAH/0Ox4=")</f>
        <v>#REF!</v>
      </c>
      <c r="AF10" s="1" t="e">
        <f>AND(#REF!,"AAAAAH/0Ox8=")</f>
        <v>#REF!</v>
      </c>
      <c r="AG10" s="1" t="e">
        <f>AND(#REF!,"AAAAAH/0OyA=")</f>
        <v>#REF!</v>
      </c>
      <c r="AH10" s="1" t="e">
        <f>AND(#REF!,"AAAAAH/0OyE=")</f>
        <v>#REF!</v>
      </c>
      <c r="AI10" s="1" t="e">
        <f>AND(#REF!,"AAAAAH/0OyI=")</f>
        <v>#REF!</v>
      </c>
      <c r="AJ10" s="1" t="e">
        <f>AND(#REF!,"AAAAAH/0OyM=")</f>
        <v>#REF!</v>
      </c>
      <c r="AK10" s="1" t="e">
        <f>AND(#REF!,"AAAAAH/0OyQ=")</f>
        <v>#REF!</v>
      </c>
      <c r="AL10" s="1" t="e">
        <f>AND(#REF!,"AAAAAH/0OyU=")</f>
        <v>#REF!</v>
      </c>
      <c r="AM10" s="1" t="e">
        <f>AND(#REF!,"AAAAAH/0OyY=")</f>
        <v>#REF!</v>
      </c>
      <c r="AN10" s="1" t="e">
        <f>AND(#REF!,"AAAAAH/0Oyc=")</f>
        <v>#REF!</v>
      </c>
      <c r="AO10" s="1" t="e">
        <f>AND(#REF!,"AAAAAH/0Oyg=")</f>
        <v>#REF!</v>
      </c>
      <c r="AP10" s="1" t="e">
        <f>AND(#REF!,"AAAAAH/0Oyk=")</f>
        <v>#REF!</v>
      </c>
      <c r="AQ10" s="1" t="e">
        <f>AND(#REF!,"AAAAAH/0Oyo=")</f>
        <v>#REF!</v>
      </c>
      <c r="AR10" s="1" t="e">
        <f>AND(#REF!,"AAAAAH/0Oys=")</f>
        <v>#REF!</v>
      </c>
      <c r="AS10" s="1" t="e">
        <f>AND(#REF!,"AAAAAH/0Oyw=")</f>
        <v>#REF!</v>
      </c>
      <c r="AT10" s="1" t="e">
        <f>AND(#REF!,"AAAAAH/0Oy0=")</f>
        <v>#REF!</v>
      </c>
      <c r="AU10" s="1" t="e">
        <f>AND(#REF!,"AAAAAH/0Oy4=")</f>
        <v>#REF!</v>
      </c>
      <c r="AV10" s="1" t="e">
        <f>AND(#REF!,"AAAAAH/0Oy8=")</f>
        <v>#REF!</v>
      </c>
      <c r="AW10" s="1" t="e">
        <f>AND(#REF!,"AAAAAH/0OzA=")</f>
        <v>#REF!</v>
      </c>
      <c r="AX10" s="1" t="e">
        <f>AND(#REF!,"AAAAAH/0OzE=")</f>
        <v>#REF!</v>
      </c>
      <c r="AY10" s="1" t="e">
        <f>AND(#REF!,"AAAAAH/0OzI=")</f>
        <v>#REF!</v>
      </c>
      <c r="AZ10" s="1" t="e">
        <f>AND(#REF!,"AAAAAH/0OzM=")</f>
        <v>#REF!</v>
      </c>
      <c r="BA10" s="1" t="e">
        <f>AND(#REF!,"AAAAAH/0OzQ=")</f>
        <v>#REF!</v>
      </c>
      <c r="BB10" s="1" t="e">
        <f>AND(#REF!,"AAAAAH/0OzU=")</f>
        <v>#REF!</v>
      </c>
      <c r="BC10" s="1" t="e">
        <f>AND(#REF!,"AAAAAH/0OzY=")</f>
        <v>#REF!</v>
      </c>
      <c r="BD10" s="1" t="e">
        <f>AND(#REF!,"AAAAAH/0Ozc=")</f>
        <v>#REF!</v>
      </c>
      <c r="BE10" s="1" t="e">
        <f>AND(#REF!,"AAAAAH/0Ozg=")</f>
        <v>#REF!</v>
      </c>
      <c r="BF10" s="1" t="e">
        <f>AND(#REF!,"AAAAAH/0Ozk=")</f>
        <v>#REF!</v>
      </c>
      <c r="BG10" s="1" t="e">
        <f>AND(#REF!,"AAAAAH/0Ozo=")</f>
        <v>#REF!</v>
      </c>
      <c r="BH10" s="1" t="e">
        <f>AND(#REF!,"AAAAAH/0Ozs=")</f>
        <v>#REF!</v>
      </c>
      <c r="BI10" s="1" t="e">
        <f>AND(#REF!,"AAAAAH/0Ozw=")</f>
        <v>#REF!</v>
      </c>
      <c r="BJ10" s="1" t="e">
        <f>AND(#REF!,"AAAAAH/0Oz0=")</f>
        <v>#REF!</v>
      </c>
      <c r="BK10" s="1" t="e">
        <f>AND(#REF!,"AAAAAH/0Oz4=")</f>
        <v>#REF!</v>
      </c>
      <c r="BL10" s="1" t="e">
        <f>AND(#REF!,"AAAAAH/0Oz8=")</f>
        <v>#REF!</v>
      </c>
      <c r="BM10" s="1" t="e">
        <f>AND(#REF!,"AAAAAH/0O0A=")</f>
        <v>#REF!</v>
      </c>
      <c r="BN10" s="1" t="e">
        <f>AND(#REF!,"AAAAAH/0O0E=")</f>
        <v>#REF!</v>
      </c>
      <c r="BO10" s="1" t="e">
        <f>AND(#REF!,"AAAAAH/0O0I=")</f>
        <v>#REF!</v>
      </c>
      <c r="BP10" s="1" t="e">
        <f>AND(#REF!,"AAAAAH/0O0M=")</f>
        <v>#REF!</v>
      </c>
      <c r="BQ10" s="1" t="e">
        <f>AND(#REF!,"AAAAAH/0O0Q=")</f>
        <v>#REF!</v>
      </c>
      <c r="BR10" s="1" t="e">
        <f>AND(#REF!,"AAAAAH/0O0U=")</f>
        <v>#REF!</v>
      </c>
      <c r="BS10" s="1" t="e">
        <f>AND(#REF!,"AAAAAH/0O0Y=")</f>
        <v>#REF!</v>
      </c>
      <c r="BT10" s="1" t="e">
        <f>AND(#REF!,"AAAAAH/0O0c=")</f>
        <v>#REF!</v>
      </c>
      <c r="BU10" s="1" t="e">
        <f>AND(#REF!,"AAAAAH/0O0g=")</f>
        <v>#REF!</v>
      </c>
      <c r="BV10" s="1" t="e">
        <f>AND(#REF!,"AAAAAH/0O0k=")</f>
        <v>#REF!</v>
      </c>
      <c r="BW10" s="1" t="e">
        <f>AND(#REF!,"AAAAAH/0O0o=")</f>
        <v>#REF!</v>
      </c>
      <c r="BX10" s="1" t="e">
        <f>AND(#REF!,"AAAAAH/0O0s=")</f>
        <v>#REF!</v>
      </c>
      <c r="BY10" s="1" t="e">
        <f>AND(#REF!,"AAAAAH/0O0w=")</f>
        <v>#REF!</v>
      </c>
      <c r="BZ10" s="1" t="e">
        <f>AND(#REF!,"AAAAAH/0O00=")</f>
        <v>#REF!</v>
      </c>
      <c r="CA10" s="1" t="e">
        <f>AND(#REF!,"AAAAAH/0O04=")</f>
        <v>#REF!</v>
      </c>
      <c r="CB10" s="1" t="e">
        <f>AND(#REF!,"AAAAAH/0O08=")</f>
        <v>#REF!</v>
      </c>
      <c r="CC10" s="1" t="e">
        <f>AND(#REF!,"AAAAAH/0O1A=")</f>
        <v>#REF!</v>
      </c>
      <c r="CD10" s="1" t="e">
        <f>AND(#REF!,"AAAAAH/0O1E=")</f>
        <v>#REF!</v>
      </c>
      <c r="CE10" s="1" t="e">
        <f>AND(#REF!,"AAAAAH/0O1I=")</f>
        <v>#REF!</v>
      </c>
      <c r="CF10" s="1" t="e">
        <f>AND(#REF!,"AAAAAH/0O1M=")</f>
        <v>#REF!</v>
      </c>
      <c r="CG10" s="1" t="e">
        <f>AND(#REF!,"AAAAAH/0O1Q=")</f>
        <v>#REF!</v>
      </c>
      <c r="CH10" s="1" t="e">
        <f>AND(#REF!,"AAAAAH/0O1U=")</f>
        <v>#REF!</v>
      </c>
      <c r="CI10" s="1" t="e">
        <f>AND(#REF!,"AAAAAH/0O1Y=")</f>
        <v>#REF!</v>
      </c>
      <c r="CJ10" s="1" t="e">
        <f>AND(#REF!,"AAAAAH/0O1c=")</f>
        <v>#REF!</v>
      </c>
      <c r="CK10" s="1" t="e">
        <f>AND(#REF!,"AAAAAH/0O1g=")</f>
        <v>#REF!</v>
      </c>
      <c r="CL10" s="1" t="e">
        <f>AND(#REF!,"AAAAAH/0O1k=")</f>
        <v>#REF!</v>
      </c>
      <c r="CM10" s="1" t="e">
        <f>AND(#REF!,"AAAAAH/0O1o=")</f>
        <v>#REF!</v>
      </c>
      <c r="CN10" s="1" t="e">
        <f>AND(#REF!,"AAAAAH/0O1s=")</f>
        <v>#REF!</v>
      </c>
      <c r="CO10" s="1" t="e">
        <f>AND(#REF!,"AAAAAH/0O1w=")</f>
        <v>#REF!</v>
      </c>
      <c r="CP10" s="1" t="e">
        <f>AND(#REF!,"AAAAAH/0O10=")</f>
        <v>#REF!</v>
      </c>
      <c r="CQ10" s="1" t="e">
        <f>AND(#REF!,"AAAAAH/0O14=")</f>
        <v>#REF!</v>
      </c>
      <c r="CR10" s="1" t="e">
        <f>AND(#REF!,"AAAAAH/0O18=")</f>
        <v>#REF!</v>
      </c>
      <c r="CS10" s="1" t="e">
        <f>AND(#REF!,"AAAAAH/0O2A=")</f>
        <v>#REF!</v>
      </c>
      <c r="CT10" s="1" t="e">
        <f>AND(#REF!,"AAAAAH/0O2E=")</f>
        <v>#REF!</v>
      </c>
      <c r="CU10" s="1" t="e">
        <f>AND(#REF!,"AAAAAH/0O2I=")</f>
        <v>#REF!</v>
      </c>
      <c r="CV10" s="1" t="e">
        <f>AND(#REF!,"AAAAAH/0O2M=")</f>
        <v>#REF!</v>
      </c>
      <c r="CW10" s="1" t="e">
        <f>AND(#REF!,"AAAAAH/0O2Q=")</f>
        <v>#REF!</v>
      </c>
      <c r="CX10" s="1" t="e">
        <f>AND(#REF!,"AAAAAH/0O2U=")</f>
        <v>#REF!</v>
      </c>
      <c r="CY10" s="1" t="e">
        <f>AND(#REF!,"AAAAAH/0O2Y=")</f>
        <v>#REF!</v>
      </c>
      <c r="CZ10" s="1" t="e">
        <f>AND(#REF!,"AAAAAH/0O2c=")</f>
        <v>#REF!</v>
      </c>
      <c r="DA10" s="1" t="e">
        <f>AND(#REF!,"AAAAAH/0O2g=")</f>
        <v>#REF!</v>
      </c>
      <c r="DB10" s="1" t="e">
        <f>AND(#REF!,"AAAAAH/0O2k=")</f>
        <v>#REF!</v>
      </c>
      <c r="DC10" s="1" t="e">
        <f>AND(#REF!,"AAAAAH/0O2o=")</f>
        <v>#REF!</v>
      </c>
      <c r="DD10" s="1" t="e">
        <f>AND(#REF!,"AAAAAH/0O2s=")</f>
        <v>#REF!</v>
      </c>
      <c r="DE10" s="1" t="e">
        <f>AND(#REF!,"AAAAAH/0O2w=")</f>
        <v>#REF!</v>
      </c>
      <c r="DF10" s="1" t="e">
        <f>AND(#REF!,"AAAAAH/0O20=")</f>
        <v>#REF!</v>
      </c>
      <c r="DG10" s="1" t="e">
        <f>AND(#REF!,"AAAAAH/0O24=")</f>
        <v>#REF!</v>
      </c>
      <c r="DH10" s="1" t="e">
        <f>AND(#REF!,"AAAAAH/0O28=")</f>
        <v>#REF!</v>
      </c>
      <c r="DI10" s="1" t="e">
        <f>AND(#REF!,"AAAAAH/0O3A=")</f>
        <v>#REF!</v>
      </c>
      <c r="DJ10" s="1" t="e">
        <f>AND(#REF!,"AAAAAH/0O3E=")</f>
        <v>#REF!</v>
      </c>
      <c r="DK10" s="1" t="e">
        <f>AND(#REF!,"AAAAAH/0O3I=")</f>
        <v>#REF!</v>
      </c>
      <c r="DL10" s="1" t="e">
        <f>AND(#REF!,"AAAAAH/0O3M=")</f>
        <v>#REF!</v>
      </c>
      <c r="DM10" s="1" t="e">
        <f>AND(#REF!,"AAAAAH/0O3Q=")</f>
        <v>#REF!</v>
      </c>
      <c r="DN10" s="1" t="e">
        <f>AND(#REF!,"AAAAAH/0O3U=")</f>
        <v>#REF!</v>
      </c>
      <c r="DO10" s="1" t="e">
        <f>AND(#REF!,"AAAAAH/0O3Y=")</f>
        <v>#REF!</v>
      </c>
      <c r="DP10" s="1" t="e">
        <f>IF(#REF!,"AAAAAH/0O3c=",0)</f>
        <v>#REF!</v>
      </c>
      <c r="DQ10" s="1" t="e">
        <f>AND(#REF!,"AAAAAH/0O3g=")</f>
        <v>#REF!</v>
      </c>
      <c r="DR10" s="1" t="e">
        <f>AND(#REF!,"AAAAAH/0O3k=")</f>
        <v>#REF!</v>
      </c>
      <c r="DS10" s="1" t="e">
        <f>AND(#REF!,"AAAAAH/0O3o=")</f>
        <v>#REF!</v>
      </c>
      <c r="DT10" s="1" t="e">
        <f>AND(#REF!,"AAAAAH/0O3s=")</f>
        <v>#REF!</v>
      </c>
      <c r="DU10" s="1" t="e">
        <f>AND(#REF!,"AAAAAH/0O3w=")</f>
        <v>#REF!</v>
      </c>
      <c r="DV10" s="1" t="e">
        <f>AND(#REF!,"AAAAAH/0O30=")</f>
        <v>#REF!</v>
      </c>
      <c r="DW10" s="1" t="e">
        <f>AND(#REF!,"AAAAAH/0O34=")</f>
        <v>#REF!</v>
      </c>
      <c r="DX10" s="1" t="e">
        <f>AND(#REF!,"AAAAAH/0O38=")</f>
        <v>#REF!</v>
      </c>
      <c r="DY10" s="1" t="e">
        <f>AND(#REF!,"AAAAAH/0O4A=")</f>
        <v>#REF!</v>
      </c>
      <c r="DZ10" s="1" t="e">
        <f>AND(#REF!,"AAAAAH/0O4E=")</f>
        <v>#REF!</v>
      </c>
      <c r="EA10" s="1" t="e">
        <f>AND(#REF!,"AAAAAH/0O4I=")</f>
        <v>#REF!</v>
      </c>
      <c r="EB10" s="1" t="e">
        <f>AND(#REF!,"AAAAAH/0O4M=")</f>
        <v>#REF!</v>
      </c>
      <c r="EC10" s="1" t="e">
        <f>AND(#REF!,"AAAAAH/0O4Q=")</f>
        <v>#REF!</v>
      </c>
      <c r="ED10" s="1" t="e">
        <f>AND(#REF!,"AAAAAH/0O4U=")</f>
        <v>#REF!</v>
      </c>
      <c r="EE10" s="1" t="e">
        <f>AND(#REF!,"AAAAAH/0O4Y=")</f>
        <v>#REF!</v>
      </c>
      <c r="EF10" s="1" t="e">
        <f>AND(#REF!,"AAAAAH/0O4c=")</f>
        <v>#REF!</v>
      </c>
      <c r="EG10" s="1" t="e">
        <f>AND(#REF!,"AAAAAH/0O4g=")</f>
        <v>#REF!</v>
      </c>
      <c r="EH10" s="1" t="e">
        <f>AND(#REF!,"AAAAAH/0O4k=")</f>
        <v>#REF!</v>
      </c>
      <c r="EI10" s="1" t="e">
        <f>AND(#REF!,"AAAAAH/0O4o=")</f>
        <v>#REF!</v>
      </c>
      <c r="EJ10" s="1" t="e">
        <f>AND(#REF!,"AAAAAH/0O4s=")</f>
        <v>#REF!</v>
      </c>
      <c r="EK10" s="1" t="e">
        <f>AND(#REF!,"AAAAAH/0O4w=")</f>
        <v>#REF!</v>
      </c>
      <c r="EL10" s="1" t="e">
        <f>AND(#REF!,"AAAAAH/0O40=")</f>
        <v>#REF!</v>
      </c>
      <c r="EM10" s="1" t="e">
        <f>AND(#REF!,"AAAAAH/0O44=")</f>
        <v>#REF!</v>
      </c>
      <c r="EN10" s="1" t="e">
        <f>AND(#REF!,"AAAAAH/0O48=")</f>
        <v>#REF!</v>
      </c>
      <c r="EO10" s="1" t="e">
        <f>AND(#REF!,"AAAAAH/0O5A=")</f>
        <v>#REF!</v>
      </c>
      <c r="EP10" s="1" t="e">
        <f>AND(#REF!,"AAAAAH/0O5E=")</f>
        <v>#REF!</v>
      </c>
      <c r="EQ10" s="1" t="e">
        <f>AND(#REF!,"AAAAAH/0O5I=")</f>
        <v>#REF!</v>
      </c>
      <c r="ER10" s="1" t="e">
        <f>AND(#REF!,"AAAAAH/0O5M=")</f>
        <v>#REF!</v>
      </c>
      <c r="ES10" s="1" t="e">
        <f>AND(#REF!,"AAAAAH/0O5Q=")</f>
        <v>#REF!</v>
      </c>
      <c r="ET10" s="1" t="e">
        <f>AND(#REF!,"AAAAAH/0O5U=")</f>
        <v>#REF!</v>
      </c>
      <c r="EU10" s="1" t="e">
        <f>AND(#REF!,"AAAAAH/0O5Y=")</f>
        <v>#REF!</v>
      </c>
      <c r="EV10" s="1" t="e">
        <f>AND(#REF!,"AAAAAH/0O5c=")</f>
        <v>#REF!</v>
      </c>
      <c r="EW10" s="1" t="e">
        <f>AND(#REF!,"AAAAAH/0O5g=")</f>
        <v>#REF!</v>
      </c>
      <c r="EX10" s="1" t="e">
        <f>AND(#REF!,"AAAAAH/0O5k=")</f>
        <v>#REF!</v>
      </c>
      <c r="EY10" s="1" t="e">
        <f>AND(#REF!,"AAAAAH/0O5o=")</f>
        <v>#REF!</v>
      </c>
      <c r="EZ10" s="1" t="e">
        <f>AND(#REF!,"AAAAAH/0O5s=")</f>
        <v>#REF!</v>
      </c>
      <c r="FA10" s="1" t="e">
        <f>AND(#REF!,"AAAAAH/0O5w=")</f>
        <v>#REF!</v>
      </c>
      <c r="FB10" s="1" t="e">
        <f>AND(#REF!,"AAAAAH/0O50=")</f>
        <v>#REF!</v>
      </c>
      <c r="FC10" s="1" t="e">
        <f>AND(#REF!,"AAAAAH/0O54=")</f>
        <v>#REF!</v>
      </c>
      <c r="FD10" s="1" t="e">
        <f>AND(#REF!,"AAAAAH/0O58=")</f>
        <v>#REF!</v>
      </c>
      <c r="FE10" s="1" t="e">
        <f>AND(#REF!,"AAAAAH/0O6A=")</f>
        <v>#REF!</v>
      </c>
      <c r="FF10" s="1" t="e">
        <f>AND(#REF!,"AAAAAH/0O6E=")</f>
        <v>#REF!</v>
      </c>
      <c r="FG10" s="1" t="e">
        <f>AND(#REF!,"AAAAAH/0O6I=")</f>
        <v>#REF!</v>
      </c>
      <c r="FH10" s="1" t="e">
        <f>AND(#REF!,"AAAAAH/0O6M=")</f>
        <v>#REF!</v>
      </c>
      <c r="FI10" s="1" t="e">
        <f>AND(#REF!,"AAAAAH/0O6Q=")</f>
        <v>#REF!</v>
      </c>
      <c r="FJ10" s="1" t="e">
        <f>AND(#REF!,"AAAAAH/0O6U=")</f>
        <v>#REF!</v>
      </c>
      <c r="FK10" s="1" t="e">
        <f>AND(#REF!,"AAAAAH/0O6Y=")</f>
        <v>#REF!</v>
      </c>
      <c r="FL10" s="1" t="e">
        <f>AND(#REF!,"AAAAAH/0O6c=")</f>
        <v>#REF!</v>
      </c>
      <c r="FM10" s="1" t="e">
        <f>AND(#REF!,"AAAAAH/0O6g=")</f>
        <v>#REF!</v>
      </c>
      <c r="FN10" s="1" t="e">
        <f>AND(#REF!,"AAAAAH/0O6k=")</f>
        <v>#REF!</v>
      </c>
      <c r="FO10" s="1" t="e">
        <f>AND(#REF!,"AAAAAH/0O6o=")</f>
        <v>#REF!</v>
      </c>
      <c r="FP10" s="1" t="e">
        <f>AND(#REF!,"AAAAAH/0O6s=")</f>
        <v>#REF!</v>
      </c>
      <c r="FQ10" s="1" t="e">
        <f>AND(#REF!,"AAAAAH/0O6w=")</f>
        <v>#REF!</v>
      </c>
      <c r="FR10" s="1" t="e">
        <f>AND(#REF!,"AAAAAH/0O60=")</f>
        <v>#REF!</v>
      </c>
      <c r="FS10" s="1" t="e">
        <f>AND(#REF!,"AAAAAH/0O64=")</f>
        <v>#REF!</v>
      </c>
      <c r="FT10" s="1" t="e">
        <f>AND(#REF!,"AAAAAH/0O68=")</f>
        <v>#REF!</v>
      </c>
      <c r="FU10" s="1" t="e">
        <f>AND(#REF!,"AAAAAH/0O7A=")</f>
        <v>#REF!</v>
      </c>
      <c r="FV10" s="1" t="e">
        <f>AND(#REF!,"AAAAAH/0O7E=")</f>
        <v>#REF!</v>
      </c>
      <c r="FW10" s="1" t="e">
        <f>AND(#REF!,"AAAAAH/0O7I=")</f>
        <v>#REF!</v>
      </c>
      <c r="FX10" s="1" t="e">
        <f>AND(#REF!,"AAAAAH/0O7M=")</f>
        <v>#REF!</v>
      </c>
      <c r="FY10" s="1" t="e">
        <f>AND(#REF!,"AAAAAH/0O7Q=")</f>
        <v>#REF!</v>
      </c>
      <c r="FZ10" s="1" t="e">
        <f>AND(#REF!,"AAAAAH/0O7U=")</f>
        <v>#REF!</v>
      </c>
      <c r="GA10" s="1" t="e">
        <f>AND(#REF!,"AAAAAH/0O7Y=")</f>
        <v>#REF!</v>
      </c>
      <c r="GB10" s="1" t="e">
        <f>AND(#REF!,"AAAAAH/0O7c=")</f>
        <v>#REF!</v>
      </c>
      <c r="GC10" s="1" t="e">
        <f>AND(#REF!,"AAAAAH/0O7g=")</f>
        <v>#REF!</v>
      </c>
      <c r="GD10" s="1" t="e">
        <f>AND(#REF!,"AAAAAH/0O7k=")</f>
        <v>#REF!</v>
      </c>
      <c r="GE10" s="1" t="e">
        <f>AND(#REF!,"AAAAAH/0O7o=")</f>
        <v>#REF!</v>
      </c>
      <c r="GF10" s="1" t="e">
        <f>AND(#REF!,"AAAAAH/0O7s=")</f>
        <v>#REF!</v>
      </c>
      <c r="GG10" s="1" t="e">
        <f>AND(#REF!,"AAAAAH/0O7w=")</f>
        <v>#REF!</v>
      </c>
      <c r="GH10" s="1" t="e">
        <f>AND(#REF!,"AAAAAH/0O70=")</f>
        <v>#REF!</v>
      </c>
      <c r="GI10" s="1" t="e">
        <f>AND(#REF!,"AAAAAH/0O74=")</f>
        <v>#REF!</v>
      </c>
      <c r="GJ10" s="1" t="e">
        <f>AND(#REF!,"AAAAAH/0O78=")</f>
        <v>#REF!</v>
      </c>
      <c r="GK10" s="1" t="e">
        <f>AND(#REF!,"AAAAAH/0O8A=")</f>
        <v>#REF!</v>
      </c>
      <c r="GL10" s="1" t="e">
        <f>AND(#REF!,"AAAAAH/0O8E=")</f>
        <v>#REF!</v>
      </c>
      <c r="GM10" s="1" t="e">
        <f>AND(#REF!,"AAAAAH/0O8I=")</f>
        <v>#REF!</v>
      </c>
      <c r="GN10" s="1" t="e">
        <f>AND(#REF!,"AAAAAH/0O8M=")</f>
        <v>#REF!</v>
      </c>
      <c r="GO10" s="1" t="e">
        <f>AND(#REF!,"AAAAAH/0O8Q=")</f>
        <v>#REF!</v>
      </c>
      <c r="GP10" s="1" t="e">
        <f>AND(#REF!,"AAAAAH/0O8U=")</f>
        <v>#REF!</v>
      </c>
      <c r="GQ10" s="1" t="e">
        <f>AND(#REF!,"AAAAAH/0O8Y=")</f>
        <v>#REF!</v>
      </c>
      <c r="GR10" s="1" t="e">
        <f>AND(#REF!,"AAAAAH/0O8c=")</f>
        <v>#REF!</v>
      </c>
      <c r="GS10" s="1" t="e">
        <f>AND(#REF!,"AAAAAH/0O8g=")</f>
        <v>#REF!</v>
      </c>
      <c r="GT10" s="1" t="e">
        <f>AND(#REF!,"AAAAAH/0O8k=")</f>
        <v>#REF!</v>
      </c>
      <c r="GU10" s="1" t="e">
        <f>AND(#REF!,"AAAAAH/0O8o=")</f>
        <v>#REF!</v>
      </c>
      <c r="GV10" s="1" t="e">
        <f>AND(#REF!,"AAAAAH/0O8s=")</f>
        <v>#REF!</v>
      </c>
      <c r="GW10" s="1" t="e">
        <f>AND(#REF!,"AAAAAH/0O8w=")</f>
        <v>#REF!</v>
      </c>
      <c r="GX10" s="1" t="e">
        <f>AND(#REF!,"AAAAAH/0O80=")</f>
        <v>#REF!</v>
      </c>
      <c r="GY10" s="1" t="e">
        <f>AND(#REF!,"AAAAAH/0O84=")</f>
        <v>#REF!</v>
      </c>
      <c r="GZ10" s="1" t="e">
        <f>AND(#REF!,"AAAAAH/0O88=")</f>
        <v>#REF!</v>
      </c>
      <c r="HA10" s="1" t="e">
        <f>AND(#REF!,"AAAAAH/0O9A=")</f>
        <v>#REF!</v>
      </c>
      <c r="HB10" s="1" t="e">
        <f>AND(#REF!,"AAAAAH/0O9E=")</f>
        <v>#REF!</v>
      </c>
      <c r="HC10" s="1" t="e">
        <f>AND(#REF!,"AAAAAH/0O9I=")</f>
        <v>#REF!</v>
      </c>
      <c r="HD10" s="1" t="e">
        <f>AND(#REF!,"AAAAAH/0O9M=")</f>
        <v>#REF!</v>
      </c>
      <c r="HE10" s="1" t="e">
        <f>AND(#REF!,"AAAAAH/0O9Q=")</f>
        <v>#REF!</v>
      </c>
      <c r="HF10" s="1" t="e">
        <f>AND(#REF!,"AAAAAH/0O9U=")</f>
        <v>#REF!</v>
      </c>
      <c r="HG10" s="1" t="e">
        <f>AND(#REF!,"AAAAAH/0O9Y=")</f>
        <v>#REF!</v>
      </c>
      <c r="HH10" s="1" t="e">
        <f>AND(#REF!,"AAAAAH/0O9c=")</f>
        <v>#REF!</v>
      </c>
      <c r="HI10" s="1" t="e">
        <f>AND(#REF!,"AAAAAH/0O9g=")</f>
        <v>#REF!</v>
      </c>
      <c r="HJ10" s="1" t="e">
        <f>AND(#REF!,"AAAAAH/0O9k=")</f>
        <v>#REF!</v>
      </c>
      <c r="HK10" s="1" t="e">
        <f>AND(#REF!,"AAAAAH/0O9o=")</f>
        <v>#REF!</v>
      </c>
      <c r="HL10" s="1" t="e">
        <f>AND(#REF!,"AAAAAH/0O9s=")</f>
        <v>#REF!</v>
      </c>
      <c r="HM10" s="1" t="e">
        <f>AND(#REF!,"AAAAAH/0O9w=")</f>
        <v>#REF!</v>
      </c>
      <c r="HN10" s="1" t="e">
        <f>AND(#REF!,"AAAAAH/0O90=")</f>
        <v>#REF!</v>
      </c>
      <c r="HO10" s="1" t="e">
        <f>IF(#REF!,"AAAAAH/0O94=",0)</f>
        <v>#REF!</v>
      </c>
      <c r="HP10" s="1" t="e">
        <f>AND(#REF!,"AAAAAH/0O98=")</f>
        <v>#REF!</v>
      </c>
      <c r="HQ10" s="1" t="e">
        <f>AND(#REF!,"AAAAAH/0O+A=")</f>
        <v>#REF!</v>
      </c>
      <c r="HR10" s="1" t="e">
        <f>AND(#REF!,"AAAAAH/0O+E=")</f>
        <v>#REF!</v>
      </c>
      <c r="HS10" s="1" t="e">
        <f>AND(#REF!,"AAAAAH/0O+I=")</f>
        <v>#REF!</v>
      </c>
      <c r="HT10" s="1" t="e">
        <f>AND(#REF!,"AAAAAH/0O+M=")</f>
        <v>#REF!</v>
      </c>
      <c r="HU10" s="1" t="e">
        <f>AND(#REF!,"AAAAAH/0O+Q=")</f>
        <v>#REF!</v>
      </c>
      <c r="HV10" s="1" t="e">
        <f>AND(#REF!,"AAAAAH/0O+U=")</f>
        <v>#REF!</v>
      </c>
      <c r="HW10" s="1" t="e">
        <f>AND(#REF!,"AAAAAH/0O+Y=")</f>
        <v>#REF!</v>
      </c>
      <c r="HX10" s="1" t="e">
        <f>AND(#REF!,"AAAAAH/0O+c=")</f>
        <v>#REF!</v>
      </c>
      <c r="HY10" s="1" t="e">
        <f>AND(#REF!,"AAAAAH/0O+g=")</f>
        <v>#REF!</v>
      </c>
      <c r="HZ10" s="1" t="e">
        <f>AND(#REF!,"AAAAAH/0O+k=")</f>
        <v>#REF!</v>
      </c>
      <c r="IA10" s="1" t="e">
        <f>AND(#REF!,"AAAAAH/0O+o=")</f>
        <v>#REF!</v>
      </c>
      <c r="IB10" s="1" t="e">
        <f>AND(#REF!,"AAAAAH/0O+s=")</f>
        <v>#REF!</v>
      </c>
      <c r="IC10" s="1" t="e">
        <f>AND(#REF!,"AAAAAH/0O+w=")</f>
        <v>#REF!</v>
      </c>
      <c r="ID10" s="1" t="e">
        <f>AND(#REF!,"AAAAAH/0O+0=")</f>
        <v>#REF!</v>
      </c>
      <c r="IE10" s="1" t="e">
        <f>AND(#REF!,"AAAAAH/0O+4=")</f>
        <v>#REF!</v>
      </c>
      <c r="IF10" s="1" t="e">
        <f>AND(#REF!,"AAAAAH/0O+8=")</f>
        <v>#REF!</v>
      </c>
      <c r="IG10" s="1" t="e">
        <f>AND(#REF!,"AAAAAH/0O/A=")</f>
        <v>#REF!</v>
      </c>
      <c r="IH10" s="1" t="e">
        <f>AND(#REF!,"AAAAAH/0O/E=")</f>
        <v>#REF!</v>
      </c>
      <c r="II10" s="1" t="e">
        <f>AND(#REF!,"AAAAAH/0O/I=")</f>
        <v>#REF!</v>
      </c>
      <c r="IJ10" s="1" t="e">
        <f>AND(#REF!,"AAAAAH/0O/M=")</f>
        <v>#REF!</v>
      </c>
      <c r="IK10" s="1" t="e">
        <f>AND(#REF!,"AAAAAH/0O/Q=")</f>
        <v>#REF!</v>
      </c>
      <c r="IL10" s="1" t="e">
        <f>AND(#REF!,"AAAAAH/0O/U=")</f>
        <v>#REF!</v>
      </c>
      <c r="IM10" s="1" t="e">
        <f>AND(#REF!,"AAAAAH/0O/Y=")</f>
        <v>#REF!</v>
      </c>
      <c r="IN10" s="1" t="e">
        <f>AND(#REF!,"AAAAAH/0O/c=")</f>
        <v>#REF!</v>
      </c>
      <c r="IO10" s="1" t="e">
        <f>AND(#REF!,"AAAAAH/0O/g=")</f>
        <v>#REF!</v>
      </c>
      <c r="IP10" s="1" t="e">
        <f>AND(#REF!,"AAAAAH/0O/k=")</f>
        <v>#REF!</v>
      </c>
      <c r="IQ10" s="1" t="e">
        <f>AND(#REF!,"AAAAAH/0O/o=")</f>
        <v>#REF!</v>
      </c>
      <c r="IR10" s="1" t="e">
        <f>AND(#REF!,"AAAAAH/0O/s=")</f>
        <v>#REF!</v>
      </c>
      <c r="IS10" s="1" t="e">
        <f>AND(#REF!,"AAAAAH/0O/w=")</f>
        <v>#REF!</v>
      </c>
      <c r="IT10" s="1" t="e">
        <f>AND(#REF!,"AAAAAH/0O/0=")</f>
        <v>#REF!</v>
      </c>
      <c r="IU10" s="1" t="e">
        <f>AND(#REF!,"AAAAAH/0O/4=")</f>
        <v>#REF!</v>
      </c>
      <c r="IV10" s="1" t="e">
        <f>AND(#REF!,"AAAAAH/0O/8=")</f>
        <v>#REF!</v>
      </c>
    </row>
    <row r="11" spans="1:256" ht="15" customHeight="1" x14ac:dyDescent="0.2">
      <c r="A11" s="1" t="e">
        <f>AND(#REF!,"AAAAAFWWewA=")</f>
        <v>#REF!</v>
      </c>
      <c r="B11" s="1" t="e">
        <f>AND(#REF!,"AAAAAFWWewE=")</f>
        <v>#REF!</v>
      </c>
      <c r="C11" s="1" t="e">
        <f>AND(#REF!,"AAAAAFWWewI=")</f>
        <v>#REF!</v>
      </c>
      <c r="D11" s="1" t="e">
        <f>AND(#REF!,"AAAAAFWWewM=")</f>
        <v>#REF!</v>
      </c>
      <c r="E11" s="1" t="e">
        <f>AND(#REF!,"AAAAAFWWewQ=")</f>
        <v>#REF!</v>
      </c>
      <c r="F11" s="1" t="e">
        <f>AND(#REF!,"AAAAAFWWewU=")</f>
        <v>#REF!</v>
      </c>
      <c r="G11" s="1" t="e">
        <f>AND(#REF!,"AAAAAFWWewY=")</f>
        <v>#REF!</v>
      </c>
      <c r="H11" s="1" t="e">
        <f>AND(#REF!,"AAAAAFWWewc=")</f>
        <v>#REF!</v>
      </c>
      <c r="I11" s="1" t="e">
        <f>AND(#REF!,"AAAAAFWWewg=")</f>
        <v>#REF!</v>
      </c>
      <c r="J11" s="1" t="e">
        <f>AND(#REF!,"AAAAAFWWewk=")</f>
        <v>#REF!</v>
      </c>
      <c r="K11" s="1" t="e">
        <f>AND(#REF!,"AAAAAFWWewo=")</f>
        <v>#REF!</v>
      </c>
      <c r="L11" s="1" t="e">
        <f>AND(#REF!,"AAAAAFWWews=")</f>
        <v>#REF!</v>
      </c>
      <c r="M11" s="1" t="e">
        <f>AND(#REF!,"AAAAAFWWeww=")</f>
        <v>#REF!</v>
      </c>
      <c r="N11" s="1" t="e">
        <f>AND(#REF!,"AAAAAFWWew0=")</f>
        <v>#REF!</v>
      </c>
      <c r="O11" s="1" t="e">
        <f>AND(#REF!,"AAAAAFWWew4=")</f>
        <v>#REF!</v>
      </c>
      <c r="P11" s="1" t="e">
        <f>AND(#REF!,"AAAAAFWWew8=")</f>
        <v>#REF!</v>
      </c>
      <c r="Q11" s="1" t="e">
        <f>AND(#REF!,"AAAAAFWWexA=")</f>
        <v>#REF!</v>
      </c>
      <c r="R11" s="1" t="e">
        <f>AND(#REF!,"AAAAAFWWexE=")</f>
        <v>#REF!</v>
      </c>
      <c r="S11" s="1" t="e">
        <f>AND(#REF!,"AAAAAFWWexI=")</f>
        <v>#REF!</v>
      </c>
      <c r="T11" s="1" t="e">
        <f>AND(#REF!,"AAAAAFWWexM=")</f>
        <v>#REF!</v>
      </c>
      <c r="U11" s="1" t="e">
        <f>AND(#REF!,"AAAAAFWWexQ=")</f>
        <v>#REF!</v>
      </c>
      <c r="V11" s="1" t="e">
        <f>AND(#REF!,"AAAAAFWWexU=")</f>
        <v>#REF!</v>
      </c>
      <c r="W11" s="1" t="e">
        <f>AND(#REF!,"AAAAAFWWexY=")</f>
        <v>#REF!</v>
      </c>
      <c r="X11" s="1" t="e">
        <f>AND(#REF!,"AAAAAFWWexc=")</f>
        <v>#REF!</v>
      </c>
      <c r="Y11" s="1" t="e">
        <f>AND(#REF!,"AAAAAFWWexg=")</f>
        <v>#REF!</v>
      </c>
      <c r="Z11" s="1" t="e">
        <f>AND(#REF!,"AAAAAFWWexk=")</f>
        <v>#REF!</v>
      </c>
      <c r="AA11" s="1" t="e">
        <f>AND(#REF!,"AAAAAFWWexo=")</f>
        <v>#REF!</v>
      </c>
      <c r="AB11" s="1" t="e">
        <f>AND(#REF!,"AAAAAFWWexs=")</f>
        <v>#REF!</v>
      </c>
      <c r="AC11" s="1" t="e">
        <f>AND(#REF!,"AAAAAFWWexw=")</f>
        <v>#REF!</v>
      </c>
      <c r="AD11" s="1" t="e">
        <f>AND(#REF!,"AAAAAFWWex0=")</f>
        <v>#REF!</v>
      </c>
      <c r="AE11" s="1" t="e">
        <f>AND(#REF!,"AAAAAFWWex4=")</f>
        <v>#REF!</v>
      </c>
      <c r="AF11" s="1" t="e">
        <f>AND(#REF!,"AAAAAFWWex8=")</f>
        <v>#REF!</v>
      </c>
      <c r="AG11" s="1" t="e">
        <f>AND(#REF!,"AAAAAFWWeyA=")</f>
        <v>#REF!</v>
      </c>
      <c r="AH11" s="1" t="e">
        <f>AND(#REF!,"AAAAAFWWeyE=")</f>
        <v>#REF!</v>
      </c>
      <c r="AI11" s="1" t="e">
        <f>AND(#REF!,"AAAAAFWWeyI=")</f>
        <v>#REF!</v>
      </c>
      <c r="AJ11" s="1" t="e">
        <f>AND(#REF!,"AAAAAFWWeyM=")</f>
        <v>#REF!</v>
      </c>
      <c r="AK11" s="1" t="e">
        <f>AND(#REF!,"AAAAAFWWeyQ=")</f>
        <v>#REF!</v>
      </c>
      <c r="AL11" s="1" t="e">
        <f>AND(#REF!,"AAAAAFWWeyU=")</f>
        <v>#REF!</v>
      </c>
      <c r="AM11" s="1" t="e">
        <f>AND(#REF!,"AAAAAFWWeyY=")</f>
        <v>#REF!</v>
      </c>
      <c r="AN11" s="1" t="e">
        <f>AND(#REF!,"AAAAAFWWeyc=")</f>
        <v>#REF!</v>
      </c>
      <c r="AO11" s="1" t="e">
        <f>AND(#REF!,"AAAAAFWWeyg=")</f>
        <v>#REF!</v>
      </c>
      <c r="AP11" s="1" t="e">
        <f>AND(#REF!,"AAAAAFWWeyk=")</f>
        <v>#REF!</v>
      </c>
      <c r="AQ11" s="1" t="e">
        <f>AND(#REF!,"AAAAAFWWeyo=")</f>
        <v>#REF!</v>
      </c>
      <c r="AR11" s="1" t="e">
        <f>AND(#REF!,"AAAAAFWWeys=")</f>
        <v>#REF!</v>
      </c>
      <c r="AS11" s="1" t="e">
        <f>AND(#REF!,"AAAAAFWWeyw=")</f>
        <v>#REF!</v>
      </c>
      <c r="AT11" s="1" t="e">
        <f>AND(#REF!,"AAAAAFWWey0=")</f>
        <v>#REF!</v>
      </c>
      <c r="AU11" s="1" t="e">
        <f>AND(#REF!,"AAAAAFWWey4=")</f>
        <v>#REF!</v>
      </c>
      <c r="AV11" s="1" t="e">
        <f>AND(#REF!,"AAAAAFWWey8=")</f>
        <v>#REF!</v>
      </c>
      <c r="AW11" s="1" t="e">
        <f>AND(#REF!,"AAAAAFWWezA=")</f>
        <v>#REF!</v>
      </c>
      <c r="AX11" s="1" t="e">
        <f>AND(#REF!,"AAAAAFWWezE=")</f>
        <v>#REF!</v>
      </c>
      <c r="AY11" s="1" t="e">
        <f>AND(#REF!,"AAAAAFWWezI=")</f>
        <v>#REF!</v>
      </c>
      <c r="AZ11" s="1" t="e">
        <f>AND(#REF!,"AAAAAFWWezM=")</f>
        <v>#REF!</v>
      </c>
      <c r="BA11" s="1" t="e">
        <f>AND(#REF!,"AAAAAFWWezQ=")</f>
        <v>#REF!</v>
      </c>
      <c r="BB11" s="1" t="e">
        <f>AND(#REF!,"AAAAAFWWezU=")</f>
        <v>#REF!</v>
      </c>
      <c r="BC11" s="1" t="e">
        <f>AND(#REF!,"AAAAAFWWezY=")</f>
        <v>#REF!</v>
      </c>
      <c r="BD11" s="1" t="e">
        <f>AND(#REF!,"AAAAAFWWezc=")</f>
        <v>#REF!</v>
      </c>
      <c r="BE11" s="1" t="e">
        <f>AND(#REF!,"AAAAAFWWezg=")</f>
        <v>#REF!</v>
      </c>
      <c r="BF11" s="1" t="e">
        <f>AND(#REF!,"AAAAAFWWezk=")</f>
        <v>#REF!</v>
      </c>
      <c r="BG11" s="1" t="e">
        <f>AND(#REF!,"AAAAAFWWezo=")</f>
        <v>#REF!</v>
      </c>
      <c r="BH11" s="1" t="e">
        <f>AND(#REF!,"AAAAAFWWezs=")</f>
        <v>#REF!</v>
      </c>
      <c r="BI11" s="1" t="e">
        <f>AND(#REF!,"AAAAAFWWezw=")</f>
        <v>#REF!</v>
      </c>
      <c r="BJ11" s="1" t="e">
        <f>AND(#REF!,"AAAAAFWWez0=")</f>
        <v>#REF!</v>
      </c>
      <c r="BK11" s="1" t="e">
        <f>AND(#REF!,"AAAAAFWWez4=")</f>
        <v>#REF!</v>
      </c>
      <c r="BL11" s="1" t="e">
        <f>AND(#REF!,"AAAAAFWWez8=")</f>
        <v>#REF!</v>
      </c>
      <c r="BM11" s="1" t="e">
        <f>AND(#REF!,"AAAAAFWWe0A=")</f>
        <v>#REF!</v>
      </c>
      <c r="BN11" s="1" t="e">
        <f>AND(#REF!,"AAAAAFWWe0E=")</f>
        <v>#REF!</v>
      </c>
      <c r="BO11" s="1" t="e">
        <f>AND(#REF!,"AAAAAFWWe0I=")</f>
        <v>#REF!</v>
      </c>
      <c r="BP11" s="1" t="e">
        <f>AND(#REF!,"AAAAAFWWe0M=")</f>
        <v>#REF!</v>
      </c>
      <c r="BQ11" s="1" t="e">
        <f>AND(#REF!,"AAAAAFWWe0Q=")</f>
        <v>#REF!</v>
      </c>
      <c r="BR11" s="1" t="e">
        <f>IF(#REF!,"AAAAAFWWe0U=",0)</f>
        <v>#REF!</v>
      </c>
      <c r="BS11" s="1" t="e">
        <f>AND(#REF!,"AAAAAFWWe0Y=")</f>
        <v>#REF!</v>
      </c>
      <c r="BT11" s="1" t="e">
        <f>AND(#REF!,"AAAAAFWWe0c=")</f>
        <v>#REF!</v>
      </c>
      <c r="BU11" s="1" t="e">
        <f>AND(#REF!,"AAAAAFWWe0g=")</f>
        <v>#REF!</v>
      </c>
      <c r="BV11" s="1" t="e">
        <f>AND(#REF!,"AAAAAFWWe0k=")</f>
        <v>#REF!</v>
      </c>
      <c r="BW11" s="1" t="e">
        <f>AND(#REF!,"AAAAAFWWe0o=")</f>
        <v>#REF!</v>
      </c>
      <c r="BX11" s="1" t="e">
        <f>AND(#REF!,"AAAAAFWWe0s=")</f>
        <v>#REF!</v>
      </c>
      <c r="BY11" s="1" t="e">
        <f>AND(#REF!,"AAAAAFWWe0w=")</f>
        <v>#REF!</v>
      </c>
      <c r="BZ11" s="1" t="e">
        <f>AND(#REF!,"AAAAAFWWe00=")</f>
        <v>#REF!</v>
      </c>
      <c r="CA11" s="1" t="e">
        <f>AND(#REF!,"AAAAAFWWe04=")</f>
        <v>#REF!</v>
      </c>
      <c r="CB11" s="1" t="e">
        <f>AND(#REF!,"AAAAAFWWe08=")</f>
        <v>#REF!</v>
      </c>
      <c r="CC11" s="1" t="e">
        <f>AND(#REF!,"AAAAAFWWe1A=")</f>
        <v>#REF!</v>
      </c>
      <c r="CD11" s="1" t="e">
        <f>AND(#REF!,"AAAAAFWWe1E=")</f>
        <v>#REF!</v>
      </c>
      <c r="CE11" s="1" t="e">
        <f>AND(#REF!,"AAAAAFWWe1I=")</f>
        <v>#REF!</v>
      </c>
      <c r="CF11" s="1" t="e">
        <f>AND(#REF!,"AAAAAFWWe1M=")</f>
        <v>#REF!</v>
      </c>
      <c r="CG11" s="1" t="e">
        <f>AND(#REF!,"AAAAAFWWe1Q=")</f>
        <v>#REF!</v>
      </c>
      <c r="CH11" s="1" t="e">
        <f>AND(#REF!,"AAAAAFWWe1U=")</f>
        <v>#REF!</v>
      </c>
      <c r="CI11" s="1" t="e">
        <f>AND(#REF!,"AAAAAFWWe1Y=")</f>
        <v>#REF!</v>
      </c>
      <c r="CJ11" s="1" t="e">
        <f>AND(#REF!,"AAAAAFWWe1c=")</f>
        <v>#REF!</v>
      </c>
      <c r="CK11" s="1" t="e">
        <f>AND(#REF!,"AAAAAFWWe1g=")</f>
        <v>#REF!</v>
      </c>
      <c r="CL11" s="1" t="e">
        <f>AND(#REF!,"AAAAAFWWe1k=")</f>
        <v>#REF!</v>
      </c>
      <c r="CM11" s="1" t="e">
        <f>AND(#REF!,"AAAAAFWWe1o=")</f>
        <v>#REF!</v>
      </c>
      <c r="CN11" s="1" t="e">
        <f>AND(#REF!,"AAAAAFWWe1s=")</f>
        <v>#REF!</v>
      </c>
      <c r="CO11" s="1" t="e">
        <f>AND(#REF!,"AAAAAFWWe1w=")</f>
        <v>#REF!</v>
      </c>
      <c r="CP11" s="1" t="e">
        <f>AND(#REF!,"AAAAAFWWe10=")</f>
        <v>#REF!</v>
      </c>
      <c r="CQ11" s="1" t="e">
        <f>AND(#REF!,"AAAAAFWWe14=")</f>
        <v>#REF!</v>
      </c>
      <c r="CR11" s="1" t="e">
        <f>AND(#REF!,"AAAAAFWWe18=")</f>
        <v>#REF!</v>
      </c>
      <c r="CS11" s="1" t="e">
        <f>AND(#REF!,"AAAAAFWWe2A=")</f>
        <v>#REF!</v>
      </c>
      <c r="CT11" s="1" t="e">
        <f>AND(#REF!,"AAAAAFWWe2E=")</f>
        <v>#REF!</v>
      </c>
      <c r="CU11" s="1" t="e">
        <f>AND(#REF!,"AAAAAFWWe2I=")</f>
        <v>#REF!</v>
      </c>
      <c r="CV11" s="1" t="e">
        <f>AND(#REF!,"AAAAAFWWe2M=")</f>
        <v>#REF!</v>
      </c>
      <c r="CW11" s="1" t="e">
        <f>AND(#REF!,"AAAAAFWWe2Q=")</f>
        <v>#REF!</v>
      </c>
      <c r="CX11" s="1" t="e">
        <f>AND(#REF!,"AAAAAFWWe2U=")</f>
        <v>#REF!</v>
      </c>
      <c r="CY11" s="1" t="e">
        <f>AND(#REF!,"AAAAAFWWe2Y=")</f>
        <v>#REF!</v>
      </c>
      <c r="CZ11" s="1" t="e">
        <f>AND(#REF!,"AAAAAFWWe2c=")</f>
        <v>#REF!</v>
      </c>
      <c r="DA11" s="1" t="e">
        <f>AND(#REF!,"AAAAAFWWe2g=")</f>
        <v>#REF!</v>
      </c>
      <c r="DB11" s="1" t="e">
        <f>AND(#REF!,"AAAAAFWWe2k=")</f>
        <v>#REF!</v>
      </c>
      <c r="DC11" s="1" t="e">
        <f>AND(#REF!,"AAAAAFWWe2o=")</f>
        <v>#REF!</v>
      </c>
      <c r="DD11" s="1" t="e">
        <f>AND(#REF!,"AAAAAFWWe2s=")</f>
        <v>#REF!</v>
      </c>
      <c r="DE11" s="1" t="e">
        <f>AND(#REF!,"AAAAAFWWe2w=")</f>
        <v>#REF!</v>
      </c>
      <c r="DF11" s="1" t="e">
        <f>AND(#REF!,"AAAAAFWWe20=")</f>
        <v>#REF!</v>
      </c>
      <c r="DG11" s="1" t="e">
        <f>AND(#REF!,"AAAAAFWWe24=")</f>
        <v>#REF!</v>
      </c>
      <c r="DH11" s="1" t="e">
        <f>AND(#REF!,"AAAAAFWWe28=")</f>
        <v>#REF!</v>
      </c>
      <c r="DI11" s="1" t="e">
        <f>AND(#REF!,"AAAAAFWWe3A=")</f>
        <v>#REF!</v>
      </c>
      <c r="DJ11" s="1" t="e">
        <f>AND(#REF!,"AAAAAFWWe3E=")</f>
        <v>#REF!</v>
      </c>
      <c r="DK11" s="1" t="e">
        <f>AND(#REF!,"AAAAAFWWe3I=")</f>
        <v>#REF!</v>
      </c>
      <c r="DL11" s="1" t="e">
        <f>AND(#REF!,"AAAAAFWWe3M=")</f>
        <v>#REF!</v>
      </c>
      <c r="DM11" s="1" t="e">
        <f>AND(#REF!,"AAAAAFWWe3Q=")</f>
        <v>#REF!</v>
      </c>
      <c r="DN11" s="1" t="e">
        <f>AND(#REF!,"AAAAAFWWe3U=")</f>
        <v>#REF!</v>
      </c>
      <c r="DO11" s="1" t="e">
        <f>AND(#REF!,"AAAAAFWWe3Y=")</f>
        <v>#REF!</v>
      </c>
      <c r="DP11" s="1" t="e">
        <f>AND(#REF!,"AAAAAFWWe3c=")</f>
        <v>#REF!</v>
      </c>
      <c r="DQ11" s="1" t="e">
        <f>AND(#REF!,"AAAAAFWWe3g=")</f>
        <v>#REF!</v>
      </c>
      <c r="DR11" s="1" t="e">
        <f>AND(#REF!,"AAAAAFWWe3k=")</f>
        <v>#REF!</v>
      </c>
      <c r="DS11" s="1" t="e">
        <f>AND(#REF!,"AAAAAFWWe3o=")</f>
        <v>#REF!</v>
      </c>
      <c r="DT11" s="1" t="e">
        <f>AND(#REF!,"AAAAAFWWe3s=")</f>
        <v>#REF!</v>
      </c>
      <c r="DU11" s="1" t="e">
        <f>AND(#REF!,"AAAAAFWWe3w=")</f>
        <v>#REF!</v>
      </c>
      <c r="DV11" s="1" t="e">
        <f>AND(#REF!,"AAAAAFWWe30=")</f>
        <v>#REF!</v>
      </c>
      <c r="DW11" s="1" t="e">
        <f>AND(#REF!,"AAAAAFWWe34=")</f>
        <v>#REF!</v>
      </c>
      <c r="DX11" s="1" t="e">
        <f>AND(#REF!,"AAAAAFWWe38=")</f>
        <v>#REF!</v>
      </c>
      <c r="DY11" s="1" t="e">
        <f>AND(#REF!,"AAAAAFWWe4A=")</f>
        <v>#REF!</v>
      </c>
      <c r="DZ11" s="1" t="e">
        <f>AND(#REF!,"AAAAAFWWe4E=")</f>
        <v>#REF!</v>
      </c>
      <c r="EA11" s="1" t="e">
        <f>AND(#REF!,"AAAAAFWWe4I=")</f>
        <v>#REF!</v>
      </c>
      <c r="EB11" s="1" t="e">
        <f>AND(#REF!,"AAAAAFWWe4M=")</f>
        <v>#REF!</v>
      </c>
      <c r="EC11" s="1" t="e">
        <f>AND(#REF!,"AAAAAFWWe4Q=")</f>
        <v>#REF!</v>
      </c>
      <c r="ED11" s="1" t="e">
        <f>AND(#REF!,"AAAAAFWWe4U=")</f>
        <v>#REF!</v>
      </c>
      <c r="EE11" s="1" t="e">
        <f>AND(#REF!,"AAAAAFWWe4Y=")</f>
        <v>#REF!</v>
      </c>
      <c r="EF11" s="1" t="e">
        <f>AND(#REF!,"AAAAAFWWe4c=")</f>
        <v>#REF!</v>
      </c>
      <c r="EG11" s="1" t="e">
        <f>AND(#REF!,"AAAAAFWWe4g=")</f>
        <v>#REF!</v>
      </c>
      <c r="EH11" s="1" t="e">
        <f>AND(#REF!,"AAAAAFWWe4k=")</f>
        <v>#REF!</v>
      </c>
      <c r="EI11" s="1" t="e">
        <f>AND(#REF!,"AAAAAFWWe4o=")</f>
        <v>#REF!</v>
      </c>
      <c r="EJ11" s="1" t="e">
        <f>AND(#REF!,"AAAAAFWWe4s=")</f>
        <v>#REF!</v>
      </c>
      <c r="EK11" s="1" t="e">
        <f>AND(#REF!,"AAAAAFWWe4w=")</f>
        <v>#REF!</v>
      </c>
      <c r="EL11" s="1" t="e">
        <f>AND(#REF!,"AAAAAFWWe40=")</f>
        <v>#REF!</v>
      </c>
      <c r="EM11" s="1" t="e">
        <f>AND(#REF!,"AAAAAFWWe44=")</f>
        <v>#REF!</v>
      </c>
      <c r="EN11" s="1" t="e">
        <f>AND(#REF!,"AAAAAFWWe48=")</f>
        <v>#REF!</v>
      </c>
      <c r="EO11" s="1" t="e">
        <f>AND(#REF!,"AAAAAFWWe5A=")</f>
        <v>#REF!</v>
      </c>
      <c r="EP11" s="1" t="e">
        <f>AND(#REF!,"AAAAAFWWe5E=")</f>
        <v>#REF!</v>
      </c>
      <c r="EQ11" s="1" t="e">
        <f>AND(#REF!,"AAAAAFWWe5I=")</f>
        <v>#REF!</v>
      </c>
      <c r="ER11" s="1" t="e">
        <f>AND(#REF!,"AAAAAFWWe5M=")</f>
        <v>#REF!</v>
      </c>
      <c r="ES11" s="1" t="e">
        <f>AND(#REF!,"AAAAAFWWe5Q=")</f>
        <v>#REF!</v>
      </c>
      <c r="ET11" s="1" t="e">
        <f>AND(#REF!,"AAAAAFWWe5U=")</f>
        <v>#REF!</v>
      </c>
      <c r="EU11" s="1" t="e">
        <f>AND(#REF!,"AAAAAFWWe5Y=")</f>
        <v>#REF!</v>
      </c>
      <c r="EV11" s="1" t="e">
        <f>AND(#REF!,"AAAAAFWWe5c=")</f>
        <v>#REF!</v>
      </c>
      <c r="EW11" s="1" t="e">
        <f>AND(#REF!,"AAAAAFWWe5g=")</f>
        <v>#REF!</v>
      </c>
      <c r="EX11" s="1" t="e">
        <f>AND(#REF!,"AAAAAFWWe5k=")</f>
        <v>#REF!</v>
      </c>
      <c r="EY11" s="1" t="e">
        <f>AND(#REF!,"AAAAAFWWe5o=")</f>
        <v>#REF!</v>
      </c>
      <c r="EZ11" s="1" t="e">
        <f>AND(#REF!,"AAAAAFWWe5s=")</f>
        <v>#REF!</v>
      </c>
      <c r="FA11" s="1" t="e">
        <f>AND(#REF!,"AAAAAFWWe5w=")</f>
        <v>#REF!</v>
      </c>
      <c r="FB11" s="1" t="e">
        <f>AND(#REF!,"AAAAAFWWe50=")</f>
        <v>#REF!</v>
      </c>
      <c r="FC11" s="1" t="e">
        <f>AND(#REF!,"AAAAAFWWe54=")</f>
        <v>#REF!</v>
      </c>
      <c r="FD11" s="1" t="e">
        <f>AND(#REF!,"AAAAAFWWe58=")</f>
        <v>#REF!</v>
      </c>
      <c r="FE11" s="1" t="e">
        <f>AND(#REF!,"AAAAAFWWe6A=")</f>
        <v>#REF!</v>
      </c>
      <c r="FF11" s="1" t="e">
        <f>AND(#REF!,"AAAAAFWWe6E=")</f>
        <v>#REF!</v>
      </c>
      <c r="FG11" s="1" t="e">
        <f>AND(#REF!,"AAAAAFWWe6I=")</f>
        <v>#REF!</v>
      </c>
      <c r="FH11" s="1" t="e">
        <f>AND(#REF!,"AAAAAFWWe6M=")</f>
        <v>#REF!</v>
      </c>
      <c r="FI11" s="1" t="e">
        <f>AND(#REF!,"AAAAAFWWe6Q=")</f>
        <v>#REF!</v>
      </c>
      <c r="FJ11" s="1" t="e">
        <f>AND(#REF!,"AAAAAFWWe6U=")</f>
        <v>#REF!</v>
      </c>
      <c r="FK11" s="1" t="e">
        <f>AND(#REF!,"AAAAAFWWe6Y=")</f>
        <v>#REF!</v>
      </c>
      <c r="FL11" s="1" t="e">
        <f>AND(#REF!,"AAAAAFWWe6c=")</f>
        <v>#REF!</v>
      </c>
      <c r="FM11" s="1" t="e">
        <f>AND(#REF!,"AAAAAFWWe6g=")</f>
        <v>#REF!</v>
      </c>
      <c r="FN11" s="1" t="e">
        <f>AND(#REF!,"AAAAAFWWe6k=")</f>
        <v>#REF!</v>
      </c>
      <c r="FO11" s="1" t="e">
        <f>AND(#REF!,"AAAAAFWWe6o=")</f>
        <v>#REF!</v>
      </c>
      <c r="FP11" s="1" t="e">
        <f>AND(#REF!,"AAAAAFWWe6s=")</f>
        <v>#REF!</v>
      </c>
      <c r="FQ11" s="1" t="e">
        <f>IF(#REF!,"AAAAAFWWe6w=",0)</f>
        <v>#REF!</v>
      </c>
      <c r="FR11" s="1" t="e">
        <f>AND(#REF!,"AAAAAFWWe60=")</f>
        <v>#REF!</v>
      </c>
      <c r="FS11" s="1" t="e">
        <f>AND(#REF!,"AAAAAFWWe64=")</f>
        <v>#REF!</v>
      </c>
      <c r="FT11" s="1" t="e">
        <f>AND(#REF!,"AAAAAFWWe68=")</f>
        <v>#REF!</v>
      </c>
      <c r="FU11" s="1" t="e">
        <f>AND(#REF!,"AAAAAFWWe7A=")</f>
        <v>#REF!</v>
      </c>
      <c r="FV11" s="1" t="e">
        <f>AND(#REF!,"AAAAAFWWe7E=")</f>
        <v>#REF!</v>
      </c>
      <c r="FW11" s="1" t="e">
        <f>AND(#REF!,"AAAAAFWWe7I=")</f>
        <v>#REF!</v>
      </c>
      <c r="FX11" s="1" t="e">
        <f>AND(#REF!,"AAAAAFWWe7M=")</f>
        <v>#REF!</v>
      </c>
      <c r="FY11" s="1" t="e">
        <f>AND(#REF!,"AAAAAFWWe7Q=")</f>
        <v>#REF!</v>
      </c>
      <c r="FZ11" s="1" t="e">
        <f>AND(#REF!,"AAAAAFWWe7U=")</f>
        <v>#REF!</v>
      </c>
      <c r="GA11" s="1" t="e">
        <f>AND(#REF!,"AAAAAFWWe7Y=")</f>
        <v>#REF!</v>
      </c>
      <c r="GB11" s="1" t="e">
        <f>AND(#REF!,"AAAAAFWWe7c=")</f>
        <v>#REF!</v>
      </c>
      <c r="GC11" s="1" t="e">
        <f>AND(#REF!,"AAAAAFWWe7g=")</f>
        <v>#REF!</v>
      </c>
      <c r="GD11" s="1" t="e">
        <f>AND(#REF!,"AAAAAFWWe7k=")</f>
        <v>#REF!</v>
      </c>
      <c r="GE11" s="1" t="e">
        <f>AND(#REF!,"AAAAAFWWe7o=")</f>
        <v>#REF!</v>
      </c>
      <c r="GF11" s="1" t="e">
        <f>AND(#REF!,"AAAAAFWWe7s=")</f>
        <v>#REF!</v>
      </c>
      <c r="GG11" s="1" t="e">
        <f>AND(#REF!,"AAAAAFWWe7w=")</f>
        <v>#REF!</v>
      </c>
      <c r="GH11" s="1" t="e">
        <f>AND(#REF!,"AAAAAFWWe70=")</f>
        <v>#REF!</v>
      </c>
      <c r="GI11" s="1" t="e">
        <f>AND(#REF!,"AAAAAFWWe74=")</f>
        <v>#REF!</v>
      </c>
      <c r="GJ11" s="1" t="e">
        <f>AND(#REF!,"AAAAAFWWe78=")</f>
        <v>#REF!</v>
      </c>
      <c r="GK11" s="1" t="e">
        <f>AND(#REF!,"AAAAAFWWe8A=")</f>
        <v>#REF!</v>
      </c>
      <c r="GL11" s="1" t="e">
        <f>AND(#REF!,"AAAAAFWWe8E=")</f>
        <v>#REF!</v>
      </c>
      <c r="GM11" s="1" t="e">
        <f>AND(#REF!,"AAAAAFWWe8I=")</f>
        <v>#REF!</v>
      </c>
      <c r="GN11" s="1" t="e">
        <f>AND(#REF!,"AAAAAFWWe8M=")</f>
        <v>#REF!</v>
      </c>
      <c r="GO11" s="1" t="e">
        <f>AND(#REF!,"AAAAAFWWe8Q=")</f>
        <v>#REF!</v>
      </c>
      <c r="GP11" s="1" t="e">
        <f>AND(#REF!,"AAAAAFWWe8U=")</f>
        <v>#REF!</v>
      </c>
      <c r="GQ11" s="1" t="e">
        <f>AND(#REF!,"AAAAAFWWe8Y=")</f>
        <v>#REF!</v>
      </c>
      <c r="GR11" s="1" t="e">
        <f>AND(#REF!,"AAAAAFWWe8c=")</f>
        <v>#REF!</v>
      </c>
      <c r="GS11" s="1" t="e">
        <f>AND(#REF!,"AAAAAFWWe8g=")</f>
        <v>#REF!</v>
      </c>
      <c r="GT11" s="1" t="e">
        <f>AND(#REF!,"AAAAAFWWe8k=")</f>
        <v>#REF!</v>
      </c>
      <c r="GU11" s="1" t="e">
        <f>AND(#REF!,"AAAAAFWWe8o=")</f>
        <v>#REF!</v>
      </c>
      <c r="GV11" s="1" t="e">
        <f>AND(#REF!,"AAAAAFWWe8s=")</f>
        <v>#REF!</v>
      </c>
      <c r="GW11" s="1" t="e">
        <f>AND(#REF!,"AAAAAFWWe8w=")</f>
        <v>#REF!</v>
      </c>
      <c r="GX11" s="1" t="e">
        <f>AND(#REF!,"AAAAAFWWe80=")</f>
        <v>#REF!</v>
      </c>
      <c r="GY11" s="1" t="e">
        <f>AND(#REF!,"AAAAAFWWe84=")</f>
        <v>#REF!</v>
      </c>
      <c r="GZ11" s="1" t="e">
        <f>AND(#REF!,"AAAAAFWWe88=")</f>
        <v>#REF!</v>
      </c>
      <c r="HA11" s="1" t="e">
        <f>AND(#REF!,"AAAAAFWWe9A=")</f>
        <v>#REF!</v>
      </c>
      <c r="HB11" s="1" t="e">
        <f>AND(#REF!,"AAAAAFWWe9E=")</f>
        <v>#REF!</v>
      </c>
      <c r="HC11" s="1" t="e">
        <f>AND(#REF!,"AAAAAFWWe9I=")</f>
        <v>#REF!</v>
      </c>
      <c r="HD11" s="1" t="e">
        <f>AND(#REF!,"AAAAAFWWe9M=")</f>
        <v>#REF!</v>
      </c>
      <c r="HE11" s="1" t="e">
        <f>AND(#REF!,"AAAAAFWWe9Q=")</f>
        <v>#REF!</v>
      </c>
      <c r="HF11" s="1" t="e">
        <f>AND(#REF!,"AAAAAFWWe9U=")</f>
        <v>#REF!</v>
      </c>
      <c r="HG11" s="1" t="e">
        <f>AND(#REF!,"AAAAAFWWe9Y=")</f>
        <v>#REF!</v>
      </c>
      <c r="HH11" s="1" t="e">
        <f>AND(#REF!,"AAAAAFWWe9c=")</f>
        <v>#REF!</v>
      </c>
      <c r="HI11" s="1" t="e">
        <f>AND(#REF!,"AAAAAFWWe9g=")</f>
        <v>#REF!</v>
      </c>
      <c r="HJ11" s="1" t="e">
        <f>AND(#REF!,"AAAAAFWWe9k=")</f>
        <v>#REF!</v>
      </c>
      <c r="HK11" s="1" t="e">
        <f>AND(#REF!,"AAAAAFWWe9o=")</f>
        <v>#REF!</v>
      </c>
      <c r="HL11" s="1" t="e">
        <f>AND(#REF!,"AAAAAFWWe9s=")</f>
        <v>#REF!</v>
      </c>
      <c r="HM11" s="1" t="e">
        <f>AND(#REF!,"AAAAAFWWe9w=")</f>
        <v>#REF!</v>
      </c>
      <c r="HN11" s="1" t="e">
        <f>AND(#REF!,"AAAAAFWWe90=")</f>
        <v>#REF!</v>
      </c>
      <c r="HO11" s="1" t="e">
        <f>AND(#REF!,"AAAAAFWWe94=")</f>
        <v>#REF!</v>
      </c>
      <c r="HP11" s="1" t="e">
        <f>AND(#REF!,"AAAAAFWWe98=")</f>
        <v>#REF!</v>
      </c>
      <c r="HQ11" s="1" t="e">
        <f>AND(#REF!,"AAAAAFWWe+A=")</f>
        <v>#REF!</v>
      </c>
      <c r="HR11" s="1" t="e">
        <f>AND(#REF!,"AAAAAFWWe+E=")</f>
        <v>#REF!</v>
      </c>
      <c r="HS11" s="1" t="e">
        <f>AND(#REF!,"AAAAAFWWe+I=")</f>
        <v>#REF!</v>
      </c>
      <c r="HT11" s="1" t="e">
        <f>AND(#REF!,"AAAAAFWWe+M=")</f>
        <v>#REF!</v>
      </c>
      <c r="HU11" s="1" t="e">
        <f>AND(#REF!,"AAAAAFWWe+Q=")</f>
        <v>#REF!</v>
      </c>
      <c r="HV11" s="1" t="e">
        <f>AND(#REF!,"AAAAAFWWe+U=")</f>
        <v>#REF!</v>
      </c>
      <c r="HW11" s="1" t="e">
        <f>AND(#REF!,"AAAAAFWWe+Y=")</f>
        <v>#REF!</v>
      </c>
      <c r="HX11" s="1" t="e">
        <f>AND(#REF!,"AAAAAFWWe+c=")</f>
        <v>#REF!</v>
      </c>
      <c r="HY11" s="1" t="e">
        <f>AND(#REF!,"AAAAAFWWe+g=")</f>
        <v>#REF!</v>
      </c>
      <c r="HZ11" s="1" t="e">
        <f>AND(#REF!,"AAAAAFWWe+k=")</f>
        <v>#REF!</v>
      </c>
      <c r="IA11" s="1" t="e">
        <f>AND(#REF!,"AAAAAFWWe+o=")</f>
        <v>#REF!</v>
      </c>
      <c r="IB11" s="1" t="e">
        <f>AND(#REF!,"AAAAAFWWe+s=")</f>
        <v>#REF!</v>
      </c>
      <c r="IC11" s="1" t="e">
        <f>AND(#REF!,"AAAAAFWWe+w=")</f>
        <v>#REF!</v>
      </c>
      <c r="ID11" s="1" t="e">
        <f>AND(#REF!,"AAAAAFWWe+0=")</f>
        <v>#REF!</v>
      </c>
      <c r="IE11" s="1" t="e">
        <f>AND(#REF!,"AAAAAFWWe+4=")</f>
        <v>#REF!</v>
      </c>
      <c r="IF11" s="1" t="e">
        <f>AND(#REF!,"AAAAAFWWe+8=")</f>
        <v>#REF!</v>
      </c>
      <c r="IG11" s="1" t="e">
        <f>AND(#REF!,"AAAAAFWWe/A=")</f>
        <v>#REF!</v>
      </c>
      <c r="IH11" s="1" t="e">
        <f>AND(#REF!,"AAAAAFWWe/E=")</f>
        <v>#REF!</v>
      </c>
      <c r="II11" s="1" t="e">
        <f>AND(#REF!,"AAAAAFWWe/I=")</f>
        <v>#REF!</v>
      </c>
      <c r="IJ11" s="1" t="e">
        <f>AND(#REF!,"AAAAAFWWe/M=")</f>
        <v>#REF!</v>
      </c>
      <c r="IK11" s="1" t="e">
        <f>AND(#REF!,"AAAAAFWWe/Q=")</f>
        <v>#REF!</v>
      </c>
      <c r="IL11" s="1" t="e">
        <f>AND(#REF!,"AAAAAFWWe/U=")</f>
        <v>#REF!</v>
      </c>
      <c r="IM11" s="1" t="e">
        <f>AND(#REF!,"AAAAAFWWe/Y=")</f>
        <v>#REF!</v>
      </c>
      <c r="IN11" s="1" t="e">
        <f>AND(#REF!,"AAAAAFWWe/c=")</f>
        <v>#REF!</v>
      </c>
      <c r="IO11" s="1" t="e">
        <f>AND(#REF!,"AAAAAFWWe/g=")</f>
        <v>#REF!</v>
      </c>
      <c r="IP11" s="1" t="e">
        <f>AND(#REF!,"AAAAAFWWe/k=")</f>
        <v>#REF!</v>
      </c>
      <c r="IQ11" s="1" t="e">
        <f>AND(#REF!,"AAAAAFWWe/o=")</f>
        <v>#REF!</v>
      </c>
      <c r="IR11" s="1" t="e">
        <f>AND(#REF!,"AAAAAFWWe/s=")</f>
        <v>#REF!</v>
      </c>
      <c r="IS11" s="1" t="e">
        <f>AND(#REF!,"AAAAAFWWe/w=")</f>
        <v>#REF!</v>
      </c>
      <c r="IT11" s="1" t="e">
        <f>AND(#REF!,"AAAAAFWWe/0=")</f>
        <v>#REF!</v>
      </c>
      <c r="IU11" s="1" t="e">
        <f>AND(#REF!,"AAAAAFWWe/4=")</f>
        <v>#REF!</v>
      </c>
      <c r="IV11" s="1" t="e">
        <f>AND(#REF!,"AAAAAFWWe/8=")</f>
        <v>#REF!</v>
      </c>
    </row>
    <row r="12" spans="1:256" ht="15" customHeight="1" x14ac:dyDescent="0.2">
      <c r="A12" s="1" t="e">
        <f>AND(#REF!,"AAAAAFk77wA=")</f>
        <v>#REF!</v>
      </c>
      <c r="B12" s="1" t="e">
        <f>AND(#REF!,"AAAAAFk77wE=")</f>
        <v>#REF!</v>
      </c>
      <c r="C12" s="1" t="e">
        <f>AND(#REF!,"AAAAAFk77wI=")</f>
        <v>#REF!</v>
      </c>
      <c r="D12" s="1" t="e">
        <f>AND(#REF!,"AAAAAFk77wM=")</f>
        <v>#REF!</v>
      </c>
      <c r="E12" s="1" t="e">
        <f>AND(#REF!,"AAAAAFk77wQ=")</f>
        <v>#REF!</v>
      </c>
      <c r="F12" s="1" t="e">
        <f>AND(#REF!,"AAAAAFk77wU=")</f>
        <v>#REF!</v>
      </c>
      <c r="G12" s="1" t="e">
        <f>AND(#REF!,"AAAAAFk77wY=")</f>
        <v>#REF!</v>
      </c>
      <c r="H12" s="1" t="e">
        <f>AND(#REF!,"AAAAAFk77wc=")</f>
        <v>#REF!</v>
      </c>
      <c r="I12" s="1" t="e">
        <f>AND(#REF!,"AAAAAFk77wg=")</f>
        <v>#REF!</v>
      </c>
      <c r="J12" s="1" t="e">
        <f>AND(#REF!,"AAAAAFk77wk=")</f>
        <v>#REF!</v>
      </c>
      <c r="K12" s="1" t="e">
        <f>AND(#REF!,"AAAAAFk77wo=")</f>
        <v>#REF!</v>
      </c>
      <c r="L12" s="1" t="e">
        <f>AND(#REF!,"AAAAAFk77ws=")</f>
        <v>#REF!</v>
      </c>
      <c r="M12" s="1" t="e">
        <f>AND(#REF!,"AAAAAFk77ww=")</f>
        <v>#REF!</v>
      </c>
      <c r="N12" s="1" t="e">
        <f>AND(#REF!,"AAAAAFk77w0=")</f>
        <v>#REF!</v>
      </c>
      <c r="O12" s="1" t="e">
        <f>AND(#REF!,"AAAAAFk77w4=")</f>
        <v>#REF!</v>
      </c>
      <c r="P12" s="1" t="e">
        <f>AND(#REF!,"AAAAAFk77w8=")</f>
        <v>#REF!</v>
      </c>
      <c r="Q12" s="1" t="e">
        <f>AND(#REF!,"AAAAAFk77xA=")</f>
        <v>#REF!</v>
      </c>
      <c r="R12" s="1" t="e">
        <f>AND(#REF!,"AAAAAFk77xE=")</f>
        <v>#REF!</v>
      </c>
      <c r="S12" s="1" t="e">
        <f>AND(#REF!,"AAAAAFk77xI=")</f>
        <v>#REF!</v>
      </c>
      <c r="T12" s="1" t="e">
        <f>IF(#REF!,"AAAAAFk77xM=",0)</f>
        <v>#REF!</v>
      </c>
      <c r="U12" s="1" t="e">
        <f>AND(#REF!,"AAAAAFk77xQ=")</f>
        <v>#REF!</v>
      </c>
      <c r="V12" s="1" t="e">
        <f>AND(#REF!,"AAAAAFk77xU=")</f>
        <v>#REF!</v>
      </c>
      <c r="W12" s="1" t="e">
        <f>AND(#REF!,"AAAAAFk77xY=")</f>
        <v>#REF!</v>
      </c>
      <c r="X12" s="1" t="e">
        <f>AND(#REF!,"AAAAAFk77xc=")</f>
        <v>#REF!</v>
      </c>
      <c r="Y12" s="1" t="e">
        <f>AND(#REF!,"AAAAAFk77xg=")</f>
        <v>#REF!</v>
      </c>
      <c r="Z12" s="1" t="e">
        <f>AND(#REF!,"AAAAAFk77xk=")</f>
        <v>#REF!</v>
      </c>
      <c r="AA12" s="1" t="e">
        <f>AND(#REF!,"AAAAAFk77xo=")</f>
        <v>#REF!</v>
      </c>
      <c r="AB12" s="1" t="e">
        <f>AND(#REF!,"AAAAAFk77xs=")</f>
        <v>#REF!</v>
      </c>
      <c r="AC12" s="1" t="e">
        <f>AND(#REF!,"AAAAAFk77xw=")</f>
        <v>#REF!</v>
      </c>
      <c r="AD12" s="1" t="e">
        <f>AND(#REF!,"AAAAAFk77x0=")</f>
        <v>#REF!</v>
      </c>
      <c r="AE12" s="1" t="e">
        <f>AND(#REF!,"AAAAAFk77x4=")</f>
        <v>#REF!</v>
      </c>
      <c r="AF12" s="1" t="e">
        <f>AND(#REF!,"AAAAAFk77x8=")</f>
        <v>#REF!</v>
      </c>
      <c r="AG12" s="1" t="e">
        <f>AND(#REF!,"AAAAAFk77yA=")</f>
        <v>#REF!</v>
      </c>
      <c r="AH12" s="1" t="e">
        <f>AND(#REF!,"AAAAAFk77yE=")</f>
        <v>#REF!</v>
      </c>
      <c r="AI12" s="1" t="e">
        <f>AND(#REF!,"AAAAAFk77yI=")</f>
        <v>#REF!</v>
      </c>
      <c r="AJ12" s="1" t="e">
        <f>AND(#REF!,"AAAAAFk77yM=")</f>
        <v>#REF!</v>
      </c>
      <c r="AK12" s="1" t="e">
        <f>AND(#REF!,"AAAAAFk77yQ=")</f>
        <v>#REF!</v>
      </c>
      <c r="AL12" s="1" t="e">
        <f>AND(#REF!,"AAAAAFk77yU=")</f>
        <v>#REF!</v>
      </c>
      <c r="AM12" s="1" t="e">
        <f>AND(#REF!,"AAAAAFk77yY=")</f>
        <v>#REF!</v>
      </c>
      <c r="AN12" s="1" t="e">
        <f>AND(#REF!,"AAAAAFk77yc=")</f>
        <v>#REF!</v>
      </c>
      <c r="AO12" s="1" t="e">
        <f>AND(#REF!,"AAAAAFk77yg=")</f>
        <v>#REF!</v>
      </c>
      <c r="AP12" s="1" t="e">
        <f>AND(#REF!,"AAAAAFk77yk=")</f>
        <v>#REF!</v>
      </c>
      <c r="AQ12" s="1" t="e">
        <f>AND(#REF!,"AAAAAFk77yo=")</f>
        <v>#REF!</v>
      </c>
      <c r="AR12" s="1" t="e">
        <f>AND(#REF!,"AAAAAFk77ys=")</f>
        <v>#REF!</v>
      </c>
      <c r="AS12" s="1" t="e">
        <f>AND(#REF!,"AAAAAFk77yw=")</f>
        <v>#REF!</v>
      </c>
      <c r="AT12" s="1" t="e">
        <f>AND(#REF!,"AAAAAFk77y0=")</f>
        <v>#REF!</v>
      </c>
      <c r="AU12" s="1" t="e">
        <f>AND(#REF!,"AAAAAFk77y4=")</f>
        <v>#REF!</v>
      </c>
      <c r="AV12" s="1" t="e">
        <f>AND(#REF!,"AAAAAFk77y8=")</f>
        <v>#REF!</v>
      </c>
      <c r="AW12" s="1" t="e">
        <f>AND(#REF!,"AAAAAFk77zA=")</f>
        <v>#REF!</v>
      </c>
      <c r="AX12" s="1" t="e">
        <f>AND(#REF!,"AAAAAFk77zE=")</f>
        <v>#REF!</v>
      </c>
      <c r="AY12" s="1" t="e">
        <f>AND(#REF!,"AAAAAFk77zI=")</f>
        <v>#REF!</v>
      </c>
      <c r="AZ12" s="1" t="e">
        <f>AND(#REF!,"AAAAAFk77zM=")</f>
        <v>#REF!</v>
      </c>
      <c r="BA12" s="1" t="e">
        <f>AND(#REF!,"AAAAAFk77zQ=")</f>
        <v>#REF!</v>
      </c>
      <c r="BB12" s="1" t="e">
        <f>AND(#REF!,"AAAAAFk77zU=")</f>
        <v>#REF!</v>
      </c>
      <c r="BC12" s="1" t="e">
        <f>AND(#REF!,"AAAAAFk77zY=")</f>
        <v>#REF!</v>
      </c>
      <c r="BD12" s="1" t="e">
        <f>AND(#REF!,"AAAAAFk77zc=")</f>
        <v>#REF!</v>
      </c>
      <c r="BE12" s="1" t="e">
        <f>AND(#REF!,"AAAAAFk77zg=")</f>
        <v>#REF!</v>
      </c>
      <c r="BF12" s="1" t="e">
        <f>AND(#REF!,"AAAAAFk77zk=")</f>
        <v>#REF!</v>
      </c>
      <c r="BG12" s="1" t="e">
        <f>AND(#REF!,"AAAAAFk77zo=")</f>
        <v>#REF!</v>
      </c>
      <c r="BH12" s="1" t="e">
        <f>AND(#REF!,"AAAAAFk77zs=")</f>
        <v>#REF!</v>
      </c>
      <c r="BI12" s="1" t="e">
        <f>AND(#REF!,"AAAAAFk77zw=")</f>
        <v>#REF!</v>
      </c>
      <c r="BJ12" s="1" t="e">
        <f>AND(#REF!,"AAAAAFk77z0=")</f>
        <v>#REF!</v>
      </c>
      <c r="BK12" s="1" t="e">
        <f>AND(#REF!,"AAAAAFk77z4=")</f>
        <v>#REF!</v>
      </c>
      <c r="BL12" s="1" t="e">
        <f>AND(#REF!,"AAAAAFk77z8=")</f>
        <v>#REF!</v>
      </c>
      <c r="BM12" s="1" t="e">
        <f>AND(#REF!,"AAAAAFk770A=")</f>
        <v>#REF!</v>
      </c>
      <c r="BN12" s="1" t="e">
        <f>AND(#REF!,"AAAAAFk770E=")</f>
        <v>#REF!</v>
      </c>
      <c r="BO12" s="1" t="e">
        <f>AND(#REF!,"AAAAAFk770I=")</f>
        <v>#REF!</v>
      </c>
      <c r="BP12" s="1" t="e">
        <f>AND(#REF!,"AAAAAFk770M=")</f>
        <v>#REF!</v>
      </c>
      <c r="BQ12" s="1" t="e">
        <f>AND(#REF!,"AAAAAFk770Q=")</f>
        <v>#REF!</v>
      </c>
      <c r="BR12" s="1" t="e">
        <f>AND(#REF!,"AAAAAFk770U=")</f>
        <v>#REF!</v>
      </c>
      <c r="BS12" s="1" t="e">
        <f>AND(#REF!,"AAAAAFk770Y=")</f>
        <v>#REF!</v>
      </c>
      <c r="BT12" s="1" t="e">
        <f>AND(#REF!,"AAAAAFk770c=")</f>
        <v>#REF!</v>
      </c>
      <c r="BU12" s="1" t="e">
        <f>AND(#REF!,"AAAAAFk770g=")</f>
        <v>#REF!</v>
      </c>
      <c r="BV12" s="1" t="e">
        <f>AND(#REF!,"AAAAAFk770k=")</f>
        <v>#REF!</v>
      </c>
      <c r="BW12" s="1" t="e">
        <f>AND(#REF!,"AAAAAFk770o=")</f>
        <v>#REF!</v>
      </c>
      <c r="BX12" s="1" t="e">
        <f>AND(#REF!,"AAAAAFk770s=")</f>
        <v>#REF!</v>
      </c>
      <c r="BY12" s="1" t="e">
        <f>AND(#REF!,"AAAAAFk770w=")</f>
        <v>#REF!</v>
      </c>
      <c r="BZ12" s="1" t="e">
        <f>AND(#REF!,"AAAAAFk7700=")</f>
        <v>#REF!</v>
      </c>
      <c r="CA12" s="1" t="e">
        <f>AND(#REF!,"AAAAAFk7704=")</f>
        <v>#REF!</v>
      </c>
      <c r="CB12" s="1" t="e">
        <f>AND(#REF!,"AAAAAFk7708=")</f>
        <v>#REF!</v>
      </c>
      <c r="CC12" s="1" t="e">
        <f>AND(#REF!,"AAAAAFk771A=")</f>
        <v>#REF!</v>
      </c>
      <c r="CD12" s="1" t="e">
        <f>AND(#REF!,"AAAAAFk771E=")</f>
        <v>#REF!</v>
      </c>
      <c r="CE12" s="1" t="e">
        <f>AND(#REF!,"AAAAAFk771I=")</f>
        <v>#REF!</v>
      </c>
      <c r="CF12" s="1" t="e">
        <f>AND(#REF!,"AAAAAFk771M=")</f>
        <v>#REF!</v>
      </c>
      <c r="CG12" s="1" t="e">
        <f>AND(#REF!,"AAAAAFk771Q=")</f>
        <v>#REF!</v>
      </c>
      <c r="CH12" s="1" t="e">
        <f>AND(#REF!,"AAAAAFk771U=")</f>
        <v>#REF!</v>
      </c>
      <c r="CI12" s="1" t="e">
        <f>AND(#REF!,"AAAAAFk771Y=")</f>
        <v>#REF!</v>
      </c>
      <c r="CJ12" s="1" t="e">
        <f>AND(#REF!,"AAAAAFk771c=")</f>
        <v>#REF!</v>
      </c>
      <c r="CK12" s="1" t="e">
        <f>AND(#REF!,"AAAAAFk771g=")</f>
        <v>#REF!</v>
      </c>
      <c r="CL12" s="1" t="e">
        <f>AND(#REF!,"AAAAAFk771k=")</f>
        <v>#REF!</v>
      </c>
      <c r="CM12" s="1" t="e">
        <f>AND(#REF!,"AAAAAFk771o=")</f>
        <v>#REF!</v>
      </c>
      <c r="CN12" s="1" t="e">
        <f>AND(#REF!,"AAAAAFk771s=")</f>
        <v>#REF!</v>
      </c>
      <c r="CO12" s="1" t="e">
        <f>AND(#REF!,"AAAAAFk771w=")</f>
        <v>#REF!</v>
      </c>
      <c r="CP12" s="1" t="e">
        <f>AND(#REF!,"AAAAAFk7710=")</f>
        <v>#REF!</v>
      </c>
      <c r="CQ12" s="1" t="e">
        <f>AND(#REF!,"AAAAAFk7714=")</f>
        <v>#REF!</v>
      </c>
      <c r="CR12" s="1" t="e">
        <f>AND(#REF!,"AAAAAFk7718=")</f>
        <v>#REF!</v>
      </c>
      <c r="CS12" s="1" t="e">
        <f>AND(#REF!,"AAAAAFk772A=")</f>
        <v>#REF!</v>
      </c>
      <c r="CT12" s="1" t="e">
        <f>AND(#REF!,"AAAAAFk772E=")</f>
        <v>#REF!</v>
      </c>
      <c r="CU12" s="1" t="e">
        <f>AND(#REF!,"AAAAAFk772I=")</f>
        <v>#REF!</v>
      </c>
      <c r="CV12" s="1" t="e">
        <f>AND(#REF!,"AAAAAFk772M=")</f>
        <v>#REF!</v>
      </c>
      <c r="CW12" s="1" t="e">
        <f>AND(#REF!,"AAAAAFk772Q=")</f>
        <v>#REF!</v>
      </c>
      <c r="CX12" s="1" t="e">
        <f>AND(#REF!,"AAAAAFk772U=")</f>
        <v>#REF!</v>
      </c>
      <c r="CY12" s="1" t="e">
        <f>AND(#REF!,"AAAAAFk772Y=")</f>
        <v>#REF!</v>
      </c>
      <c r="CZ12" s="1" t="e">
        <f>AND(#REF!,"AAAAAFk772c=")</f>
        <v>#REF!</v>
      </c>
      <c r="DA12" s="1" t="e">
        <f>AND(#REF!,"AAAAAFk772g=")</f>
        <v>#REF!</v>
      </c>
      <c r="DB12" s="1" t="e">
        <f>AND(#REF!,"AAAAAFk772k=")</f>
        <v>#REF!</v>
      </c>
      <c r="DC12" s="1" t="e">
        <f>AND(#REF!,"AAAAAFk772o=")</f>
        <v>#REF!</v>
      </c>
      <c r="DD12" s="1" t="e">
        <f>AND(#REF!,"AAAAAFk772s=")</f>
        <v>#REF!</v>
      </c>
      <c r="DE12" s="1" t="e">
        <f>AND(#REF!,"AAAAAFk772w=")</f>
        <v>#REF!</v>
      </c>
      <c r="DF12" s="1" t="e">
        <f>AND(#REF!,"AAAAAFk7720=")</f>
        <v>#REF!</v>
      </c>
      <c r="DG12" s="1" t="e">
        <f>AND(#REF!,"AAAAAFk7724=")</f>
        <v>#REF!</v>
      </c>
      <c r="DH12" s="1" t="e">
        <f>AND(#REF!,"AAAAAFk7728=")</f>
        <v>#REF!</v>
      </c>
      <c r="DI12" s="1" t="e">
        <f>AND(#REF!,"AAAAAFk773A=")</f>
        <v>#REF!</v>
      </c>
      <c r="DJ12" s="1" t="e">
        <f>AND(#REF!,"AAAAAFk773E=")</f>
        <v>#REF!</v>
      </c>
      <c r="DK12" s="1" t="e">
        <f>AND(#REF!,"AAAAAFk773I=")</f>
        <v>#REF!</v>
      </c>
      <c r="DL12" s="1" t="e">
        <f>AND(#REF!,"AAAAAFk773M=")</f>
        <v>#REF!</v>
      </c>
      <c r="DM12" s="1" t="e">
        <f>AND(#REF!,"AAAAAFk773Q=")</f>
        <v>#REF!</v>
      </c>
      <c r="DN12" s="1" t="e">
        <f>AND(#REF!,"AAAAAFk773U=")</f>
        <v>#REF!</v>
      </c>
      <c r="DO12" s="1" t="e">
        <f>AND(#REF!,"AAAAAFk773Y=")</f>
        <v>#REF!</v>
      </c>
      <c r="DP12" s="1" t="e">
        <f>AND(#REF!,"AAAAAFk773c=")</f>
        <v>#REF!</v>
      </c>
      <c r="DQ12" s="1" t="e">
        <f>AND(#REF!,"AAAAAFk773g=")</f>
        <v>#REF!</v>
      </c>
      <c r="DR12" s="1" t="e">
        <f>AND(#REF!,"AAAAAFk773k=")</f>
        <v>#REF!</v>
      </c>
      <c r="DS12" s="1" t="e">
        <f>IF(#REF!,"AAAAAFk773o=",0)</f>
        <v>#REF!</v>
      </c>
      <c r="DT12" s="1" t="e">
        <f>AND(#REF!,"AAAAAFk773s=")</f>
        <v>#REF!</v>
      </c>
      <c r="DU12" s="1" t="e">
        <f>AND(#REF!,"AAAAAFk773w=")</f>
        <v>#REF!</v>
      </c>
      <c r="DV12" s="1" t="e">
        <f>AND(#REF!,"AAAAAFk7730=")</f>
        <v>#REF!</v>
      </c>
      <c r="DW12" s="1" t="e">
        <f>AND(#REF!,"AAAAAFk7734=")</f>
        <v>#REF!</v>
      </c>
      <c r="DX12" s="1" t="e">
        <f>AND(#REF!,"AAAAAFk7738=")</f>
        <v>#REF!</v>
      </c>
      <c r="DY12" s="1" t="e">
        <f>AND(#REF!,"AAAAAFk774A=")</f>
        <v>#REF!</v>
      </c>
      <c r="DZ12" s="1" t="e">
        <f>AND(#REF!,"AAAAAFk774E=")</f>
        <v>#REF!</v>
      </c>
      <c r="EA12" s="1" t="e">
        <f>AND(#REF!,"AAAAAFk774I=")</f>
        <v>#REF!</v>
      </c>
      <c r="EB12" s="1" t="e">
        <f>AND(#REF!,"AAAAAFk774M=")</f>
        <v>#REF!</v>
      </c>
      <c r="EC12" s="1" t="e">
        <f>AND(#REF!,"AAAAAFk774Q=")</f>
        <v>#REF!</v>
      </c>
      <c r="ED12" s="1" t="e">
        <f>AND(#REF!,"AAAAAFk774U=")</f>
        <v>#REF!</v>
      </c>
      <c r="EE12" s="1" t="e">
        <f>AND(#REF!,"AAAAAFk774Y=")</f>
        <v>#REF!</v>
      </c>
      <c r="EF12" s="1" t="e">
        <f>AND(#REF!,"AAAAAFk774c=")</f>
        <v>#REF!</v>
      </c>
      <c r="EG12" s="1" t="e">
        <f>AND(#REF!,"AAAAAFk774g=")</f>
        <v>#REF!</v>
      </c>
      <c r="EH12" s="1" t="e">
        <f>AND(#REF!,"AAAAAFk774k=")</f>
        <v>#REF!</v>
      </c>
      <c r="EI12" s="1" t="e">
        <f>AND(#REF!,"AAAAAFk774o=")</f>
        <v>#REF!</v>
      </c>
      <c r="EJ12" s="1" t="e">
        <f>AND(#REF!,"AAAAAFk774s=")</f>
        <v>#REF!</v>
      </c>
      <c r="EK12" s="1" t="e">
        <f>AND(#REF!,"AAAAAFk774w=")</f>
        <v>#REF!</v>
      </c>
      <c r="EL12" s="1" t="e">
        <f>AND(#REF!,"AAAAAFk7740=")</f>
        <v>#REF!</v>
      </c>
      <c r="EM12" s="1" t="e">
        <f>AND(#REF!,"AAAAAFk7744=")</f>
        <v>#REF!</v>
      </c>
      <c r="EN12" s="1" t="e">
        <f>AND(#REF!,"AAAAAFk7748=")</f>
        <v>#REF!</v>
      </c>
      <c r="EO12" s="1" t="e">
        <f>AND(#REF!,"AAAAAFk775A=")</f>
        <v>#REF!</v>
      </c>
      <c r="EP12" s="1" t="e">
        <f>AND(#REF!,"AAAAAFk775E=")</f>
        <v>#REF!</v>
      </c>
      <c r="EQ12" s="1" t="e">
        <f>AND(#REF!,"AAAAAFk775I=")</f>
        <v>#REF!</v>
      </c>
      <c r="ER12" s="1" t="e">
        <f>AND(#REF!,"AAAAAFk775M=")</f>
        <v>#REF!</v>
      </c>
      <c r="ES12" s="1" t="e">
        <f>AND(#REF!,"AAAAAFk775Q=")</f>
        <v>#REF!</v>
      </c>
      <c r="ET12" s="1" t="e">
        <f>AND(#REF!,"AAAAAFk775U=")</f>
        <v>#REF!</v>
      </c>
      <c r="EU12" s="1" t="e">
        <f>AND(#REF!,"AAAAAFk775Y=")</f>
        <v>#REF!</v>
      </c>
      <c r="EV12" s="1" t="e">
        <f>AND(#REF!,"AAAAAFk775c=")</f>
        <v>#REF!</v>
      </c>
      <c r="EW12" s="1" t="e">
        <f>AND(#REF!,"AAAAAFk775g=")</f>
        <v>#REF!</v>
      </c>
      <c r="EX12" s="1" t="e">
        <f>AND(#REF!,"AAAAAFk775k=")</f>
        <v>#REF!</v>
      </c>
      <c r="EY12" s="1" t="e">
        <f>AND(#REF!,"AAAAAFk775o=")</f>
        <v>#REF!</v>
      </c>
      <c r="EZ12" s="1" t="e">
        <f>AND(#REF!,"AAAAAFk775s=")</f>
        <v>#REF!</v>
      </c>
      <c r="FA12" s="1" t="e">
        <f>AND(#REF!,"AAAAAFk775w=")</f>
        <v>#REF!</v>
      </c>
      <c r="FB12" s="1" t="e">
        <f>AND(#REF!,"AAAAAFk7750=")</f>
        <v>#REF!</v>
      </c>
      <c r="FC12" s="1" t="e">
        <f>AND(#REF!,"AAAAAFk7754=")</f>
        <v>#REF!</v>
      </c>
      <c r="FD12" s="1" t="e">
        <f>AND(#REF!,"AAAAAFk7758=")</f>
        <v>#REF!</v>
      </c>
      <c r="FE12" s="1" t="e">
        <f>AND(#REF!,"AAAAAFk776A=")</f>
        <v>#REF!</v>
      </c>
      <c r="FF12" s="1" t="e">
        <f>AND(#REF!,"AAAAAFk776E=")</f>
        <v>#REF!</v>
      </c>
      <c r="FG12" s="1" t="e">
        <f>AND(#REF!,"AAAAAFk776I=")</f>
        <v>#REF!</v>
      </c>
      <c r="FH12" s="1" t="e">
        <f>AND(#REF!,"AAAAAFk776M=")</f>
        <v>#REF!</v>
      </c>
      <c r="FI12" s="1" t="e">
        <f>AND(#REF!,"AAAAAFk776Q=")</f>
        <v>#REF!</v>
      </c>
      <c r="FJ12" s="1" t="e">
        <f>AND(#REF!,"AAAAAFk776U=")</f>
        <v>#REF!</v>
      </c>
      <c r="FK12" s="1" t="e">
        <f>AND(#REF!,"AAAAAFk776Y=")</f>
        <v>#REF!</v>
      </c>
      <c r="FL12" s="1" t="e">
        <f>AND(#REF!,"AAAAAFk776c=")</f>
        <v>#REF!</v>
      </c>
      <c r="FM12" s="1" t="e">
        <f>AND(#REF!,"AAAAAFk776g=")</f>
        <v>#REF!</v>
      </c>
      <c r="FN12" s="1" t="e">
        <f>AND(#REF!,"AAAAAFk776k=")</f>
        <v>#REF!</v>
      </c>
      <c r="FO12" s="1" t="e">
        <f>AND(#REF!,"AAAAAFk776o=")</f>
        <v>#REF!</v>
      </c>
      <c r="FP12" s="1" t="e">
        <f>AND(#REF!,"AAAAAFk776s=")</f>
        <v>#REF!</v>
      </c>
      <c r="FQ12" s="1" t="e">
        <f>AND(#REF!,"AAAAAFk776w=")</f>
        <v>#REF!</v>
      </c>
      <c r="FR12" s="1" t="e">
        <f>AND(#REF!,"AAAAAFk7760=")</f>
        <v>#REF!</v>
      </c>
      <c r="FS12" s="1" t="e">
        <f>AND(#REF!,"AAAAAFk7764=")</f>
        <v>#REF!</v>
      </c>
      <c r="FT12" s="1" t="e">
        <f>AND(#REF!,"AAAAAFk7768=")</f>
        <v>#REF!</v>
      </c>
      <c r="FU12" s="1" t="e">
        <f>AND(#REF!,"AAAAAFk777A=")</f>
        <v>#REF!</v>
      </c>
      <c r="FV12" s="1" t="e">
        <f>AND(#REF!,"AAAAAFk777E=")</f>
        <v>#REF!</v>
      </c>
      <c r="FW12" s="1" t="e">
        <f>AND(#REF!,"AAAAAFk777I=")</f>
        <v>#REF!</v>
      </c>
      <c r="FX12" s="1" t="e">
        <f>AND(#REF!,"AAAAAFk777M=")</f>
        <v>#REF!</v>
      </c>
      <c r="FY12" s="1" t="e">
        <f>AND(#REF!,"AAAAAFk777Q=")</f>
        <v>#REF!</v>
      </c>
      <c r="FZ12" s="1" t="e">
        <f>AND(#REF!,"AAAAAFk777U=")</f>
        <v>#REF!</v>
      </c>
      <c r="GA12" s="1" t="e">
        <f>AND(#REF!,"AAAAAFk777Y=")</f>
        <v>#REF!</v>
      </c>
      <c r="GB12" s="1" t="e">
        <f>AND(#REF!,"AAAAAFk777c=")</f>
        <v>#REF!</v>
      </c>
      <c r="GC12" s="1" t="e">
        <f>AND(#REF!,"AAAAAFk777g=")</f>
        <v>#REF!</v>
      </c>
      <c r="GD12" s="1" t="e">
        <f>AND(#REF!,"AAAAAFk777k=")</f>
        <v>#REF!</v>
      </c>
      <c r="GE12" s="1" t="e">
        <f>AND(#REF!,"AAAAAFk777o=")</f>
        <v>#REF!</v>
      </c>
      <c r="GF12" s="1" t="e">
        <f>AND(#REF!,"AAAAAFk777s=")</f>
        <v>#REF!</v>
      </c>
      <c r="GG12" s="1" t="e">
        <f>AND(#REF!,"AAAAAFk777w=")</f>
        <v>#REF!</v>
      </c>
      <c r="GH12" s="1" t="e">
        <f>AND(#REF!,"AAAAAFk7770=")</f>
        <v>#REF!</v>
      </c>
      <c r="GI12" s="1" t="e">
        <f>AND(#REF!,"AAAAAFk7774=")</f>
        <v>#REF!</v>
      </c>
      <c r="GJ12" s="1" t="e">
        <f>AND(#REF!,"AAAAAFk7778=")</f>
        <v>#REF!</v>
      </c>
      <c r="GK12" s="1" t="e">
        <f>AND(#REF!,"AAAAAFk778A=")</f>
        <v>#REF!</v>
      </c>
      <c r="GL12" s="1" t="e">
        <f>AND(#REF!,"AAAAAFk778E=")</f>
        <v>#REF!</v>
      </c>
      <c r="GM12" s="1" t="e">
        <f>AND(#REF!,"AAAAAFk778I=")</f>
        <v>#REF!</v>
      </c>
      <c r="GN12" s="1" t="e">
        <f>AND(#REF!,"AAAAAFk778M=")</f>
        <v>#REF!</v>
      </c>
      <c r="GO12" s="1" t="e">
        <f>AND(#REF!,"AAAAAFk778Q=")</f>
        <v>#REF!</v>
      </c>
      <c r="GP12" s="1" t="e">
        <f>AND(#REF!,"AAAAAFk778U=")</f>
        <v>#REF!</v>
      </c>
      <c r="GQ12" s="1" t="e">
        <f>AND(#REF!,"AAAAAFk778Y=")</f>
        <v>#REF!</v>
      </c>
      <c r="GR12" s="1" t="e">
        <f>AND(#REF!,"AAAAAFk778c=")</f>
        <v>#REF!</v>
      </c>
      <c r="GS12" s="1" t="e">
        <f>AND(#REF!,"AAAAAFk778g=")</f>
        <v>#REF!</v>
      </c>
      <c r="GT12" s="1" t="e">
        <f>AND(#REF!,"AAAAAFk778k=")</f>
        <v>#REF!</v>
      </c>
      <c r="GU12" s="1" t="e">
        <f>AND(#REF!,"AAAAAFk778o=")</f>
        <v>#REF!</v>
      </c>
      <c r="GV12" s="1" t="e">
        <f>AND(#REF!,"AAAAAFk778s=")</f>
        <v>#REF!</v>
      </c>
      <c r="GW12" s="1" t="e">
        <f>AND(#REF!,"AAAAAFk778w=")</f>
        <v>#REF!</v>
      </c>
      <c r="GX12" s="1" t="e">
        <f>AND(#REF!,"AAAAAFk7780=")</f>
        <v>#REF!</v>
      </c>
      <c r="GY12" s="1" t="e">
        <f>AND(#REF!,"AAAAAFk7784=")</f>
        <v>#REF!</v>
      </c>
      <c r="GZ12" s="1" t="e">
        <f>AND(#REF!,"AAAAAFk7788=")</f>
        <v>#REF!</v>
      </c>
      <c r="HA12" s="1" t="e">
        <f>AND(#REF!,"AAAAAFk779A=")</f>
        <v>#REF!</v>
      </c>
      <c r="HB12" s="1" t="e">
        <f>AND(#REF!,"AAAAAFk779E=")</f>
        <v>#REF!</v>
      </c>
      <c r="HC12" s="1" t="e">
        <f>AND(#REF!,"AAAAAFk779I=")</f>
        <v>#REF!</v>
      </c>
      <c r="HD12" s="1" t="e">
        <f>AND(#REF!,"AAAAAFk779M=")</f>
        <v>#REF!</v>
      </c>
      <c r="HE12" s="1" t="e">
        <f>AND(#REF!,"AAAAAFk779Q=")</f>
        <v>#REF!</v>
      </c>
      <c r="HF12" s="1" t="e">
        <f>AND(#REF!,"AAAAAFk779U=")</f>
        <v>#REF!</v>
      </c>
      <c r="HG12" s="1" t="e">
        <f>AND(#REF!,"AAAAAFk779Y=")</f>
        <v>#REF!</v>
      </c>
      <c r="HH12" s="1" t="e">
        <f>AND(#REF!,"AAAAAFk779c=")</f>
        <v>#REF!</v>
      </c>
      <c r="HI12" s="1" t="e">
        <f>AND(#REF!,"AAAAAFk779g=")</f>
        <v>#REF!</v>
      </c>
      <c r="HJ12" s="1" t="e">
        <f>AND(#REF!,"AAAAAFk779k=")</f>
        <v>#REF!</v>
      </c>
      <c r="HK12" s="1" t="e">
        <f>AND(#REF!,"AAAAAFk779o=")</f>
        <v>#REF!</v>
      </c>
      <c r="HL12" s="1" t="e">
        <f>AND(#REF!,"AAAAAFk779s=")</f>
        <v>#REF!</v>
      </c>
      <c r="HM12" s="1" t="e">
        <f>AND(#REF!,"AAAAAFk779w=")</f>
        <v>#REF!</v>
      </c>
      <c r="HN12" s="1" t="e">
        <f>AND(#REF!,"AAAAAFk7790=")</f>
        <v>#REF!</v>
      </c>
      <c r="HO12" s="1" t="e">
        <f>AND(#REF!,"AAAAAFk7794=")</f>
        <v>#REF!</v>
      </c>
      <c r="HP12" s="1" t="e">
        <f>AND(#REF!,"AAAAAFk7798=")</f>
        <v>#REF!</v>
      </c>
      <c r="HQ12" s="1" t="e">
        <f>AND(#REF!,"AAAAAFk77+A=")</f>
        <v>#REF!</v>
      </c>
      <c r="HR12" s="1" t="e">
        <f>IF(#REF!,"AAAAAFk77+E=",0)</f>
        <v>#REF!</v>
      </c>
      <c r="HS12" s="1" t="e">
        <f>AND(#REF!,"AAAAAFk77+I=")</f>
        <v>#REF!</v>
      </c>
      <c r="HT12" s="1" t="e">
        <f>AND(#REF!,"AAAAAFk77+M=")</f>
        <v>#REF!</v>
      </c>
      <c r="HU12" s="1" t="e">
        <f>AND(#REF!,"AAAAAFk77+Q=")</f>
        <v>#REF!</v>
      </c>
      <c r="HV12" s="1" t="e">
        <f>AND(#REF!,"AAAAAFk77+U=")</f>
        <v>#REF!</v>
      </c>
      <c r="HW12" s="1" t="e">
        <f>AND(#REF!,"AAAAAFk77+Y=")</f>
        <v>#REF!</v>
      </c>
      <c r="HX12" s="1" t="e">
        <f>AND(#REF!,"AAAAAFk77+c=")</f>
        <v>#REF!</v>
      </c>
      <c r="HY12" s="1" t="e">
        <f>AND(#REF!,"AAAAAFk77+g=")</f>
        <v>#REF!</v>
      </c>
      <c r="HZ12" s="1" t="e">
        <f>AND(#REF!,"AAAAAFk77+k=")</f>
        <v>#REF!</v>
      </c>
      <c r="IA12" s="1" t="e">
        <f>AND(#REF!,"AAAAAFk77+o=")</f>
        <v>#REF!</v>
      </c>
      <c r="IB12" s="1" t="e">
        <f>AND(#REF!,"AAAAAFk77+s=")</f>
        <v>#REF!</v>
      </c>
      <c r="IC12" s="1" t="e">
        <f>AND(#REF!,"AAAAAFk77+w=")</f>
        <v>#REF!</v>
      </c>
      <c r="ID12" s="1" t="e">
        <f>AND(#REF!,"AAAAAFk77+0=")</f>
        <v>#REF!</v>
      </c>
      <c r="IE12" s="1" t="e">
        <f>AND(#REF!,"AAAAAFk77+4=")</f>
        <v>#REF!</v>
      </c>
      <c r="IF12" s="1" t="e">
        <f>AND(#REF!,"AAAAAFk77+8=")</f>
        <v>#REF!</v>
      </c>
      <c r="IG12" s="1" t="e">
        <f>AND(#REF!,"AAAAAFk77/A=")</f>
        <v>#REF!</v>
      </c>
      <c r="IH12" s="1" t="e">
        <f>AND(#REF!,"AAAAAFk77/E=")</f>
        <v>#REF!</v>
      </c>
      <c r="II12" s="1" t="e">
        <f>AND(#REF!,"AAAAAFk77/I=")</f>
        <v>#REF!</v>
      </c>
      <c r="IJ12" s="1" t="e">
        <f>AND(#REF!,"AAAAAFk77/M=")</f>
        <v>#REF!</v>
      </c>
      <c r="IK12" s="1" t="e">
        <f>AND(#REF!,"AAAAAFk77/Q=")</f>
        <v>#REF!</v>
      </c>
      <c r="IL12" s="1" t="e">
        <f>AND(#REF!,"AAAAAFk77/U=")</f>
        <v>#REF!</v>
      </c>
      <c r="IM12" s="1" t="e">
        <f>AND(#REF!,"AAAAAFk77/Y=")</f>
        <v>#REF!</v>
      </c>
      <c r="IN12" s="1" t="e">
        <f>AND(#REF!,"AAAAAFk77/c=")</f>
        <v>#REF!</v>
      </c>
      <c r="IO12" s="1" t="e">
        <f>AND(#REF!,"AAAAAFk77/g=")</f>
        <v>#REF!</v>
      </c>
      <c r="IP12" s="1" t="e">
        <f>AND(#REF!,"AAAAAFk77/k=")</f>
        <v>#REF!</v>
      </c>
      <c r="IQ12" s="1" t="e">
        <f>AND(#REF!,"AAAAAFk77/o=")</f>
        <v>#REF!</v>
      </c>
      <c r="IR12" s="1" t="e">
        <f>AND(#REF!,"AAAAAFk77/s=")</f>
        <v>#REF!</v>
      </c>
      <c r="IS12" s="1" t="e">
        <f>AND(#REF!,"AAAAAFk77/w=")</f>
        <v>#REF!</v>
      </c>
      <c r="IT12" s="1" t="e">
        <f>AND(#REF!,"AAAAAFk77/0=")</f>
        <v>#REF!</v>
      </c>
      <c r="IU12" s="1" t="e">
        <f>AND(#REF!,"AAAAAFk77/4=")</f>
        <v>#REF!</v>
      </c>
      <c r="IV12" s="1" t="e">
        <f>AND(#REF!,"AAAAAFk77/8=")</f>
        <v>#REF!</v>
      </c>
    </row>
    <row r="13" spans="1:256" ht="15" customHeight="1" x14ac:dyDescent="0.2">
      <c r="A13" s="1" t="e">
        <f>AND(#REF!,"AAAAADTrjwA=")</f>
        <v>#REF!</v>
      </c>
      <c r="B13" s="1" t="e">
        <f>AND(#REF!,"AAAAADTrjwE=")</f>
        <v>#REF!</v>
      </c>
      <c r="C13" s="1" t="e">
        <f>AND(#REF!,"AAAAADTrjwI=")</f>
        <v>#REF!</v>
      </c>
      <c r="D13" s="1" t="e">
        <f>AND(#REF!,"AAAAADTrjwM=")</f>
        <v>#REF!</v>
      </c>
      <c r="E13" s="1" t="e">
        <f>AND(#REF!,"AAAAADTrjwQ=")</f>
        <v>#REF!</v>
      </c>
      <c r="F13" s="1" t="e">
        <f>AND(#REF!,"AAAAADTrjwU=")</f>
        <v>#REF!</v>
      </c>
      <c r="G13" s="1" t="e">
        <f>AND(#REF!,"AAAAADTrjwY=")</f>
        <v>#REF!</v>
      </c>
      <c r="H13" s="1" t="e">
        <f>AND(#REF!,"AAAAADTrjwc=")</f>
        <v>#REF!</v>
      </c>
      <c r="I13" s="1" t="e">
        <f>AND(#REF!,"AAAAADTrjwg=")</f>
        <v>#REF!</v>
      </c>
      <c r="J13" s="1" t="e">
        <f>AND(#REF!,"AAAAADTrjwk=")</f>
        <v>#REF!</v>
      </c>
      <c r="K13" s="1" t="e">
        <f>AND(#REF!,"AAAAADTrjwo=")</f>
        <v>#REF!</v>
      </c>
      <c r="L13" s="1" t="e">
        <f>AND(#REF!,"AAAAADTrjws=")</f>
        <v>#REF!</v>
      </c>
      <c r="M13" s="1" t="e">
        <f>AND(#REF!,"AAAAADTrjww=")</f>
        <v>#REF!</v>
      </c>
      <c r="N13" s="1" t="e">
        <f>AND(#REF!,"AAAAADTrjw0=")</f>
        <v>#REF!</v>
      </c>
      <c r="O13" s="1" t="e">
        <f>AND(#REF!,"AAAAADTrjw4=")</f>
        <v>#REF!</v>
      </c>
      <c r="P13" s="1" t="e">
        <f>AND(#REF!,"AAAAADTrjw8=")</f>
        <v>#REF!</v>
      </c>
      <c r="Q13" s="1" t="e">
        <f>AND(#REF!,"AAAAADTrjxA=")</f>
        <v>#REF!</v>
      </c>
      <c r="R13" s="1" t="e">
        <f>AND(#REF!,"AAAAADTrjxE=")</f>
        <v>#REF!</v>
      </c>
      <c r="S13" s="1" t="e">
        <f>AND(#REF!,"AAAAADTrjxI=")</f>
        <v>#REF!</v>
      </c>
      <c r="T13" s="1" t="e">
        <f>AND(#REF!,"AAAAADTrjxM=")</f>
        <v>#REF!</v>
      </c>
      <c r="U13" s="1" t="e">
        <f>AND(#REF!,"AAAAADTrjxQ=")</f>
        <v>#REF!</v>
      </c>
      <c r="V13" s="1" t="e">
        <f>AND(#REF!,"AAAAADTrjxU=")</f>
        <v>#REF!</v>
      </c>
      <c r="W13" s="1" t="e">
        <f>AND(#REF!,"AAAAADTrjxY=")</f>
        <v>#REF!</v>
      </c>
      <c r="X13" s="1" t="e">
        <f>AND(#REF!,"AAAAADTrjxc=")</f>
        <v>#REF!</v>
      </c>
      <c r="Y13" s="1" t="e">
        <f>AND(#REF!,"AAAAADTrjxg=")</f>
        <v>#REF!</v>
      </c>
      <c r="Z13" s="1" t="e">
        <f>AND(#REF!,"AAAAADTrjxk=")</f>
        <v>#REF!</v>
      </c>
      <c r="AA13" s="1" t="e">
        <f>AND(#REF!,"AAAAADTrjxo=")</f>
        <v>#REF!</v>
      </c>
      <c r="AB13" s="1" t="e">
        <f>AND(#REF!,"AAAAADTrjxs=")</f>
        <v>#REF!</v>
      </c>
      <c r="AC13" s="1" t="e">
        <f>AND(#REF!,"AAAAADTrjxw=")</f>
        <v>#REF!</v>
      </c>
      <c r="AD13" s="1" t="e">
        <f>AND(#REF!,"AAAAADTrjx0=")</f>
        <v>#REF!</v>
      </c>
      <c r="AE13" s="1" t="e">
        <f>AND(#REF!,"AAAAADTrjx4=")</f>
        <v>#REF!</v>
      </c>
      <c r="AF13" s="1" t="e">
        <f>AND(#REF!,"AAAAADTrjx8=")</f>
        <v>#REF!</v>
      </c>
      <c r="AG13" s="1" t="e">
        <f>AND(#REF!,"AAAAADTrjyA=")</f>
        <v>#REF!</v>
      </c>
      <c r="AH13" s="1" t="e">
        <f>AND(#REF!,"AAAAADTrjyE=")</f>
        <v>#REF!</v>
      </c>
      <c r="AI13" s="1" t="e">
        <f>AND(#REF!,"AAAAADTrjyI=")</f>
        <v>#REF!</v>
      </c>
      <c r="AJ13" s="1" t="e">
        <f>AND(#REF!,"AAAAADTrjyM=")</f>
        <v>#REF!</v>
      </c>
      <c r="AK13" s="1" t="e">
        <f>AND(#REF!,"AAAAADTrjyQ=")</f>
        <v>#REF!</v>
      </c>
      <c r="AL13" s="1" t="e">
        <f>AND(#REF!,"AAAAADTrjyU=")</f>
        <v>#REF!</v>
      </c>
      <c r="AM13" s="1" t="e">
        <f>AND(#REF!,"AAAAADTrjyY=")</f>
        <v>#REF!</v>
      </c>
      <c r="AN13" s="1" t="e">
        <f>AND(#REF!,"AAAAADTrjyc=")</f>
        <v>#REF!</v>
      </c>
      <c r="AO13" s="1" t="e">
        <f>AND(#REF!,"AAAAADTrjyg=")</f>
        <v>#REF!</v>
      </c>
      <c r="AP13" s="1" t="e">
        <f>AND(#REF!,"AAAAADTrjyk=")</f>
        <v>#REF!</v>
      </c>
      <c r="AQ13" s="1" t="e">
        <f>AND(#REF!,"AAAAADTrjyo=")</f>
        <v>#REF!</v>
      </c>
      <c r="AR13" s="1" t="e">
        <f>AND(#REF!,"AAAAADTrjys=")</f>
        <v>#REF!</v>
      </c>
      <c r="AS13" s="1" t="e">
        <f>AND(#REF!,"AAAAADTrjyw=")</f>
        <v>#REF!</v>
      </c>
      <c r="AT13" s="1" t="e">
        <f>AND(#REF!,"AAAAADTrjy0=")</f>
        <v>#REF!</v>
      </c>
      <c r="AU13" s="1" t="e">
        <f>AND(#REF!,"AAAAADTrjy4=")</f>
        <v>#REF!</v>
      </c>
      <c r="AV13" s="1" t="e">
        <f>AND(#REF!,"AAAAADTrjy8=")</f>
        <v>#REF!</v>
      </c>
      <c r="AW13" s="1" t="e">
        <f>AND(#REF!,"AAAAADTrjzA=")</f>
        <v>#REF!</v>
      </c>
      <c r="AX13" s="1" t="e">
        <f>AND(#REF!,"AAAAADTrjzE=")</f>
        <v>#REF!</v>
      </c>
      <c r="AY13" s="1" t="e">
        <f>AND(#REF!,"AAAAADTrjzI=")</f>
        <v>#REF!</v>
      </c>
      <c r="AZ13" s="1" t="e">
        <f>AND(#REF!,"AAAAADTrjzM=")</f>
        <v>#REF!</v>
      </c>
      <c r="BA13" s="1" t="e">
        <f>AND(#REF!,"AAAAADTrjzQ=")</f>
        <v>#REF!</v>
      </c>
      <c r="BB13" s="1" t="e">
        <f>AND(#REF!,"AAAAADTrjzU=")</f>
        <v>#REF!</v>
      </c>
      <c r="BC13" s="1" t="e">
        <f>AND(#REF!,"AAAAADTrjzY=")</f>
        <v>#REF!</v>
      </c>
      <c r="BD13" s="1" t="e">
        <f>AND(#REF!,"AAAAADTrjzc=")</f>
        <v>#REF!</v>
      </c>
      <c r="BE13" s="1" t="e">
        <f>AND(#REF!,"AAAAADTrjzg=")</f>
        <v>#REF!</v>
      </c>
      <c r="BF13" s="1" t="e">
        <f>AND(#REF!,"AAAAADTrjzk=")</f>
        <v>#REF!</v>
      </c>
      <c r="BG13" s="1" t="e">
        <f>AND(#REF!,"AAAAADTrjzo=")</f>
        <v>#REF!</v>
      </c>
      <c r="BH13" s="1" t="e">
        <f>AND(#REF!,"AAAAADTrjzs=")</f>
        <v>#REF!</v>
      </c>
      <c r="BI13" s="1" t="e">
        <f>AND(#REF!,"AAAAADTrjzw=")</f>
        <v>#REF!</v>
      </c>
      <c r="BJ13" s="1" t="e">
        <f>AND(#REF!,"AAAAADTrjz0=")</f>
        <v>#REF!</v>
      </c>
      <c r="BK13" s="1" t="e">
        <f>AND(#REF!,"AAAAADTrjz4=")</f>
        <v>#REF!</v>
      </c>
      <c r="BL13" s="1" t="e">
        <f>AND(#REF!,"AAAAADTrjz8=")</f>
        <v>#REF!</v>
      </c>
      <c r="BM13" s="1" t="e">
        <f>AND(#REF!,"AAAAADTrj0A=")</f>
        <v>#REF!</v>
      </c>
      <c r="BN13" s="1" t="e">
        <f>AND(#REF!,"AAAAADTrj0E=")</f>
        <v>#REF!</v>
      </c>
      <c r="BO13" s="1" t="e">
        <f>AND(#REF!,"AAAAADTrj0I=")</f>
        <v>#REF!</v>
      </c>
      <c r="BP13" s="1" t="e">
        <f>AND(#REF!,"AAAAADTrj0M=")</f>
        <v>#REF!</v>
      </c>
      <c r="BQ13" s="1" t="e">
        <f>AND(#REF!,"AAAAADTrj0Q=")</f>
        <v>#REF!</v>
      </c>
      <c r="BR13" s="1" t="e">
        <f>AND(#REF!,"AAAAADTrj0U=")</f>
        <v>#REF!</v>
      </c>
      <c r="BS13" s="1" t="e">
        <f>AND(#REF!,"AAAAADTrj0Y=")</f>
        <v>#REF!</v>
      </c>
      <c r="BT13" s="1" t="e">
        <f>AND(#REF!,"AAAAADTrj0c=")</f>
        <v>#REF!</v>
      </c>
      <c r="BU13" s="1" t="e">
        <f>IF(#REF!,"AAAAADTrj0g=",0)</f>
        <v>#REF!</v>
      </c>
      <c r="BV13" s="1" t="e">
        <f>AND(#REF!,"AAAAADTrj0k=")</f>
        <v>#REF!</v>
      </c>
      <c r="BW13" s="1" t="e">
        <f>AND(#REF!,"AAAAADTrj0o=")</f>
        <v>#REF!</v>
      </c>
      <c r="BX13" s="1" t="e">
        <f>AND(#REF!,"AAAAADTrj0s=")</f>
        <v>#REF!</v>
      </c>
      <c r="BY13" s="1" t="e">
        <f>AND(#REF!,"AAAAADTrj0w=")</f>
        <v>#REF!</v>
      </c>
      <c r="BZ13" s="1" t="e">
        <f>AND(#REF!,"AAAAADTrj00=")</f>
        <v>#REF!</v>
      </c>
      <c r="CA13" s="1" t="e">
        <f>AND(#REF!,"AAAAADTrj04=")</f>
        <v>#REF!</v>
      </c>
      <c r="CB13" s="1" t="e">
        <f>AND(#REF!,"AAAAADTrj08=")</f>
        <v>#REF!</v>
      </c>
      <c r="CC13" s="1" t="e">
        <f>AND(#REF!,"AAAAADTrj1A=")</f>
        <v>#REF!</v>
      </c>
      <c r="CD13" s="1" t="e">
        <f>AND(#REF!,"AAAAADTrj1E=")</f>
        <v>#REF!</v>
      </c>
      <c r="CE13" s="1" t="e">
        <f>AND(#REF!,"AAAAADTrj1I=")</f>
        <v>#REF!</v>
      </c>
      <c r="CF13" s="1" t="e">
        <f>AND(#REF!,"AAAAADTrj1M=")</f>
        <v>#REF!</v>
      </c>
      <c r="CG13" s="1" t="e">
        <f>AND(#REF!,"AAAAADTrj1Q=")</f>
        <v>#REF!</v>
      </c>
      <c r="CH13" s="1" t="e">
        <f>AND(#REF!,"AAAAADTrj1U=")</f>
        <v>#REF!</v>
      </c>
      <c r="CI13" s="1" t="e">
        <f>AND(#REF!,"AAAAADTrj1Y=")</f>
        <v>#REF!</v>
      </c>
      <c r="CJ13" s="1" t="e">
        <f>AND(#REF!,"AAAAADTrj1c=")</f>
        <v>#REF!</v>
      </c>
      <c r="CK13" s="1" t="e">
        <f>AND(#REF!,"AAAAADTrj1g=")</f>
        <v>#REF!</v>
      </c>
      <c r="CL13" s="1" t="e">
        <f>AND(#REF!,"AAAAADTrj1k=")</f>
        <v>#REF!</v>
      </c>
      <c r="CM13" s="1" t="e">
        <f>AND(#REF!,"AAAAADTrj1o=")</f>
        <v>#REF!</v>
      </c>
      <c r="CN13" s="1" t="e">
        <f>AND(#REF!,"AAAAADTrj1s=")</f>
        <v>#REF!</v>
      </c>
      <c r="CO13" s="1" t="e">
        <f>AND(#REF!,"AAAAADTrj1w=")</f>
        <v>#REF!</v>
      </c>
      <c r="CP13" s="1" t="e">
        <f>AND(#REF!,"AAAAADTrj10=")</f>
        <v>#REF!</v>
      </c>
      <c r="CQ13" s="1" t="e">
        <f>AND(#REF!,"AAAAADTrj14=")</f>
        <v>#REF!</v>
      </c>
      <c r="CR13" s="1" t="e">
        <f>AND(#REF!,"AAAAADTrj18=")</f>
        <v>#REF!</v>
      </c>
      <c r="CS13" s="1" t="e">
        <f>AND(#REF!,"AAAAADTrj2A=")</f>
        <v>#REF!</v>
      </c>
      <c r="CT13" s="1" t="e">
        <f>AND(#REF!,"AAAAADTrj2E=")</f>
        <v>#REF!</v>
      </c>
      <c r="CU13" s="1" t="e">
        <f>AND(#REF!,"AAAAADTrj2I=")</f>
        <v>#REF!</v>
      </c>
      <c r="CV13" s="1" t="e">
        <f>AND(#REF!,"AAAAADTrj2M=")</f>
        <v>#REF!</v>
      </c>
      <c r="CW13" s="1" t="e">
        <f>AND(#REF!,"AAAAADTrj2Q=")</f>
        <v>#REF!</v>
      </c>
      <c r="CX13" s="1" t="e">
        <f>AND(#REF!,"AAAAADTrj2U=")</f>
        <v>#REF!</v>
      </c>
      <c r="CY13" s="1" t="e">
        <f>AND(#REF!,"AAAAADTrj2Y=")</f>
        <v>#REF!</v>
      </c>
      <c r="CZ13" s="1" t="e">
        <f>AND(#REF!,"AAAAADTrj2c=")</f>
        <v>#REF!</v>
      </c>
      <c r="DA13" s="1" t="e">
        <f>AND(#REF!,"AAAAADTrj2g=")</f>
        <v>#REF!</v>
      </c>
      <c r="DB13" s="1" t="e">
        <f>AND(#REF!,"AAAAADTrj2k=")</f>
        <v>#REF!</v>
      </c>
      <c r="DC13" s="1" t="e">
        <f>AND(#REF!,"AAAAADTrj2o=")</f>
        <v>#REF!</v>
      </c>
      <c r="DD13" s="1" t="e">
        <f>AND(#REF!,"AAAAADTrj2s=")</f>
        <v>#REF!</v>
      </c>
      <c r="DE13" s="1" t="e">
        <f>AND(#REF!,"AAAAADTrj2w=")</f>
        <v>#REF!</v>
      </c>
      <c r="DF13" s="1" t="e">
        <f>AND(#REF!,"AAAAADTrj20=")</f>
        <v>#REF!</v>
      </c>
      <c r="DG13" s="1" t="e">
        <f>AND(#REF!,"AAAAADTrj24=")</f>
        <v>#REF!</v>
      </c>
      <c r="DH13" s="1" t="e">
        <f>AND(#REF!,"AAAAADTrj28=")</f>
        <v>#REF!</v>
      </c>
      <c r="DI13" s="1" t="e">
        <f>AND(#REF!,"AAAAADTrj3A=")</f>
        <v>#REF!</v>
      </c>
      <c r="DJ13" s="1" t="e">
        <f>AND(#REF!,"AAAAADTrj3E=")</f>
        <v>#REF!</v>
      </c>
      <c r="DK13" s="1" t="e">
        <f>AND(#REF!,"AAAAADTrj3I=")</f>
        <v>#REF!</v>
      </c>
      <c r="DL13" s="1" t="e">
        <f>AND(#REF!,"AAAAADTrj3M=")</f>
        <v>#REF!</v>
      </c>
      <c r="DM13" s="1" t="e">
        <f>AND(#REF!,"AAAAADTrj3Q=")</f>
        <v>#REF!</v>
      </c>
      <c r="DN13" s="1" t="e">
        <f>AND(#REF!,"AAAAADTrj3U=")</f>
        <v>#REF!</v>
      </c>
      <c r="DO13" s="1" t="e">
        <f>AND(#REF!,"AAAAADTrj3Y=")</f>
        <v>#REF!</v>
      </c>
      <c r="DP13" s="1" t="e">
        <f>AND(#REF!,"AAAAADTrj3c=")</f>
        <v>#REF!</v>
      </c>
      <c r="DQ13" s="1" t="e">
        <f>AND(#REF!,"AAAAADTrj3g=")</f>
        <v>#REF!</v>
      </c>
      <c r="DR13" s="1" t="e">
        <f>AND(#REF!,"AAAAADTrj3k=")</f>
        <v>#REF!</v>
      </c>
      <c r="DS13" s="1" t="e">
        <f>AND(#REF!,"AAAAADTrj3o=")</f>
        <v>#REF!</v>
      </c>
      <c r="DT13" s="1" t="e">
        <f>AND(#REF!,"AAAAADTrj3s=")</f>
        <v>#REF!</v>
      </c>
      <c r="DU13" s="1" t="e">
        <f>AND(#REF!,"AAAAADTrj3w=")</f>
        <v>#REF!</v>
      </c>
      <c r="DV13" s="1" t="e">
        <f>AND(#REF!,"AAAAADTrj30=")</f>
        <v>#REF!</v>
      </c>
      <c r="DW13" s="1" t="e">
        <f>AND(#REF!,"AAAAADTrj34=")</f>
        <v>#REF!</v>
      </c>
      <c r="DX13" s="1" t="e">
        <f>AND(#REF!,"AAAAADTrj38=")</f>
        <v>#REF!</v>
      </c>
      <c r="DY13" s="1" t="e">
        <f>AND(#REF!,"AAAAADTrj4A=")</f>
        <v>#REF!</v>
      </c>
      <c r="DZ13" s="1" t="e">
        <f>AND(#REF!,"AAAAADTrj4E=")</f>
        <v>#REF!</v>
      </c>
      <c r="EA13" s="1" t="e">
        <f>AND(#REF!,"AAAAADTrj4I=")</f>
        <v>#REF!</v>
      </c>
      <c r="EB13" s="1" t="e">
        <f>AND(#REF!,"AAAAADTrj4M=")</f>
        <v>#REF!</v>
      </c>
      <c r="EC13" s="1" t="e">
        <f>AND(#REF!,"AAAAADTrj4Q=")</f>
        <v>#REF!</v>
      </c>
      <c r="ED13" s="1" t="e">
        <f>AND(#REF!,"AAAAADTrj4U=")</f>
        <v>#REF!</v>
      </c>
      <c r="EE13" s="1" t="e">
        <f>AND(#REF!,"AAAAADTrj4Y=")</f>
        <v>#REF!</v>
      </c>
      <c r="EF13" s="1" t="e">
        <f>AND(#REF!,"AAAAADTrj4c=")</f>
        <v>#REF!</v>
      </c>
      <c r="EG13" s="1" t="e">
        <f>AND(#REF!,"AAAAADTrj4g=")</f>
        <v>#REF!</v>
      </c>
      <c r="EH13" s="1" t="e">
        <f>AND(#REF!,"AAAAADTrj4k=")</f>
        <v>#REF!</v>
      </c>
      <c r="EI13" s="1" t="e">
        <f>AND(#REF!,"AAAAADTrj4o=")</f>
        <v>#REF!</v>
      </c>
      <c r="EJ13" s="1" t="e">
        <f>AND(#REF!,"AAAAADTrj4s=")</f>
        <v>#REF!</v>
      </c>
      <c r="EK13" s="1" t="e">
        <f>AND(#REF!,"AAAAADTrj4w=")</f>
        <v>#REF!</v>
      </c>
      <c r="EL13" s="1" t="e">
        <f>AND(#REF!,"AAAAADTrj40=")</f>
        <v>#REF!</v>
      </c>
      <c r="EM13" s="1" t="e">
        <f>AND(#REF!,"AAAAADTrj44=")</f>
        <v>#REF!</v>
      </c>
      <c r="EN13" s="1" t="e">
        <f>AND(#REF!,"AAAAADTrj48=")</f>
        <v>#REF!</v>
      </c>
      <c r="EO13" s="1" t="e">
        <f>AND(#REF!,"AAAAADTrj5A=")</f>
        <v>#REF!</v>
      </c>
      <c r="EP13" s="1" t="e">
        <f>AND(#REF!,"AAAAADTrj5E=")</f>
        <v>#REF!</v>
      </c>
      <c r="EQ13" s="1" t="e">
        <f>AND(#REF!,"AAAAADTrj5I=")</f>
        <v>#REF!</v>
      </c>
      <c r="ER13" s="1" t="e">
        <f>AND(#REF!,"AAAAADTrj5M=")</f>
        <v>#REF!</v>
      </c>
      <c r="ES13" s="1" t="e">
        <f>AND(#REF!,"AAAAADTrj5Q=")</f>
        <v>#REF!</v>
      </c>
      <c r="ET13" s="1" t="e">
        <f>AND(#REF!,"AAAAADTrj5U=")</f>
        <v>#REF!</v>
      </c>
      <c r="EU13" s="1" t="e">
        <f>AND(#REF!,"AAAAADTrj5Y=")</f>
        <v>#REF!</v>
      </c>
      <c r="EV13" s="1" t="e">
        <f>AND(#REF!,"AAAAADTrj5c=")</f>
        <v>#REF!</v>
      </c>
      <c r="EW13" s="1" t="e">
        <f>AND(#REF!,"AAAAADTrj5g=")</f>
        <v>#REF!</v>
      </c>
      <c r="EX13" s="1" t="e">
        <f>AND(#REF!,"AAAAADTrj5k=")</f>
        <v>#REF!</v>
      </c>
      <c r="EY13" s="1" t="e">
        <f>AND(#REF!,"AAAAADTrj5o=")</f>
        <v>#REF!</v>
      </c>
      <c r="EZ13" s="1" t="e">
        <f>AND(#REF!,"AAAAADTrj5s=")</f>
        <v>#REF!</v>
      </c>
      <c r="FA13" s="1" t="e">
        <f>AND(#REF!,"AAAAADTrj5w=")</f>
        <v>#REF!</v>
      </c>
      <c r="FB13" s="1" t="e">
        <f>AND(#REF!,"AAAAADTrj50=")</f>
        <v>#REF!</v>
      </c>
      <c r="FC13" s="1" t="e">
        <f>AND(#REF!,"AAAAADTrj54=")</f>
        <v>#REF!</v>
      </c>
      <c r="FD13" s="1" t="e">
        <f>AND(#REF!,"AAAAADTrj58=")</f>
        <v>#REF!</v>
      </c>
      <c r="FE13" s="1" t="e">
        <f>AND(#REF!,"AAAAADTrj6A=")</f>
        <v>#REF!</v>
      </c>
      <c r="FF13" s="1" t="e">
        <f>AND(#REF!,"AAAAADTrj6E=")</f>
        <v>#REF!</v>
      </c>
      <c r="FG13" s="1" t="e">
        <f>AND(#REF!,"AAAAADTrj6I=")</f>
        <v>#REF!</v>
      </c>
      <c r="FH13" s="1" t="e">
        <f>AND(#REF!,"AAAAADTrj6M=")</f>
        <v>#REF!</v>
      </c>
      <c r="FI13" s="1" t="e">
        <f>AND(#REF!,"AAAAADTrj6Q=")</f>
        <v>#REF!</v>
      </c>
      <c r="FJ13" s="1" t="e">
        <f>AND(#REF!,"AAAAADTrj6U=")</f>
        <v>#REF!</v>
      </c>
      <c r="FK13" s="1" t="e">
        <f>AND(#REF!,"AAAAADTrj6Y=")</f>
        <v>#REF!</v>
      </c>
      <c r="FL13" s="1" t="e">
        <f>AND(#REF!,"AAAAADTrj6c=")</f>
        <v>#REF!</v>
      </c>
      <c r="FM13" s="1" t="e">
        <f>AND(#REF!,"AAAAADTrj6g=")</f>
        <v>#REF!</v>
      </c>
      <c r="FN13" s="1" t="e">
        <f>AND(#REF!,"AAAAADTrj6k=")</f>
        <v>#REF!</v>
      </c>
      <c r="FO13" s="1" t="e">
        <f>AND(#REF!,"AAAAADTrj6o=")</f>
        <v>#REF!</v>
      </c>
      <c r="FP13" s="1" t="e">
        <f>AND(#REF!,"AAAAADTrj6s=")</f>
        <v>#REF!</v>
      </c>
      <c r="FQ13" s="1" t="e">
        <f>AND(#REF!,"AAAAADTrj6w=")</f>
        <v>#REF!</v>
      </c>
      <c r="FR13" s="1" t="e">
        <f>AND(#REF!,"AAAAADTrj60=")</f>
        <v>#REF!</v>
      </c>
      <c r="FS13" s="1" t="e">
        <f>AND(#REF!,"AAAAADTrj64=")</f>
        <v>#REF!</v>
      </c>
      <c r="FT13" s="1" t="e">
        <f>IF(#REF!,"AAAAADTrj68=",0)</f>
        <v>#REF!</v>
      </c>
      <c r="FU13" s="1" t="e">
        <f>AND(#REF!,"AAAAADTrj7A=")</f>
        <v>#REF!</v>
      </c>
      <c r="FV13" s="1" t="e">
        <f>AND(#REF!,"AAAAADTrj7E=")</f>
        <v>#REF!</v>
      </c>
      <c r="FW13" s="1" t="e">
        <f>AND(#REF!,"AAAAADTrj7I=")</f>
        <v>#REF!</v>
      </c>
      <c r="FX13" s="1" t="e">
        <f>AND(#REF!,"AAAAADTrj7M=")</f>
        <v>#REF!</v>
      </c>
      <c r="FY13" s="1" t="e">
        <f>AND(#REF!,"AAAAADTrj7Q=")</f>
        <v>#REF!</v>
      </c>
      <c r="FZ13" s="1" t="e">
        <f>AND(#REF!,"AAAAADTrj7U=")</f>
        <v>#REF!</v>
      </c>
      <c r="GA13" s="1" t="e">
        <f>AND(#REF!,"AAAAADTrj7Y=")</f>
        <v>#REF!</v>
      </c>
      <c r="GB13" s="1" t="e">
        <f>AND(#REF!,"AAAAADTrj7c=")</f>
        <v>#REF!</v>
      </c>
      <c r="GC13" s="1" t="e">
        <f>AND(#REF!,"AAAAADTrj7g=")</f>
        <v>#REF!</v>
      </c>
      <c r="GD13" s="1" t="e">
        <f>AND(#REF!,"AAAAADTrj7k=")</f>
        <v>#REF!</v>
      </c>
      <c r="GE13" s="1" t="e">
        <f>AND(#REF!,"AAAAADTrj7o=")</f>
        <v>#REF!</v>
      </c>
      <c r="GF13" s="1" t="e">
        <f>AND(#REF!,"AAAAADTrj7s=")</f>
        <v>#REF!</v>
      </c>
      <c r="GG13" s="1" t="e">
        <f>AND(#REF!,"AAAAADTrj7w=")</f>
        <v>#REF!</v>
      </c>
      <c r="GH13" s="1" t="e">
        <f>AND(#REF!,"AAAAADTrj70=")</f>
        <v>#REF!</v>
      </c>
      <c r="GI13" s="1" t="e">
        <f>AND(#REF!,"AAAAADTrj74=")</f>
        <v>#REF!</v>
      </c>
      <c r="GJ13" s="1" t="e">
        <f>AND(#REF!,"AAAAADTrj78=")</f>
        <v>#REF!</v>
      </c>
      <c r="GK13" s="1" t="e">
        <f>AND(#REF!,"AAAAADTrj8A=")</f>
        <v>#REF!</v>
      </c>
      <c r="GL13" s="1" t="e">
        <f>AND(#REF!,"AAAAADTrj8E=")</f>
        <v>#REF!</v>
      </c>
      <c r="GM13" s="1" t="e">
        <f>AND(#REF!,"AAAAADTrj8I=")</f>
        <v>#REF!</v>
      </c>
      <c r="GN13" s="1" t="e">
        <f>AND(#REF!,"AAAAADTrj8M=")</f>
        <v>#REF!</v>
      </c>
      <c r="GO13" s="1" t="e">
        <f>AND(#REF!,"AAAAADTrj8Q=")</f>
        <v>#REF!</v>
      </c>
      <c r="GP13" s="1" t="e">
        <f>AND(#REF!,"AAAAADTrj8U=")</f>
        <v>#REF!</v>
      </c>
      <c r="GQ13" s="1" t="e">
        <f>AND(#REF!,"AAAAADTrj8Y=")</f>
        <v>#REF!</v>
      </c>
      <c r="GR13" s="1" t="e">
        <f>AND(#REF!,"AAAAADTrj8c=")</f>
        <v>#REF!</v>
      </c>
      <c r="GS13" s="1" t="e">
        <f>AND(#REF!,"AAAAADTrj8g=")</f>
        <v>#REF!</v>
      </c>
      <c r="GT13" s="1" t="e">
        <f>AND(#REF!,"AAAAADTrj8k=")</f>
        <v>#REF!</v>
      </c>
      <c r="GU13" s="1" t="e">
        <f>AND(#REF!,"AAAAADTrj8o=")</f>
        <v>#REF!</v>
      </c>
      <c r="GV13" s="1" t="e">
        <f>AND(#REF!,"AAAAADTrj8s=")</f>
        <v>#REF!</v>
      </c>
      <c r="GW13" s="1" t="e">
        <f>AND(#REF!,"AAAAADTrj8w=")</f>
        <v>#REF!</v>
      </c>
      <c r="GX13" s="1" t="e">
        <f>AND(#REF!,"AAAAADTrj80=")</f>
        <v>#REF!</v>
      </c>
      <c r="GY13" s="1" t="e">
        <f>AND(#REF!,"AAAAADTrj84=")</f>
        <v>#REF!</v>
      </c>
      <c r="GZ13" s="1" t="e">
        <f>AND(#REF!,"AAAAADTrj88=")</f>
        <v>#REF!</v>
      </c>
      <c r="HA13" s="1" t="e">
        <f>AND(#REF!,"AAAAADTrj9A=")</f>
        <v>#REF!</v>
      </c>
      <c r="HB13" s="1" t="e">
        <f>AND(#REF!,"AAAAADTrj9E=")</f>
        <v>#REF!</v>
      </c>
      <c r="HC13" s="1" t="e">
        <f>AND(#REF!,"AAAAADTrj9I=")</f>
        <v>#REF!</v>
      </c>
      <c r="HD13" s="1" t="e">
        <f>AND(#REF!,"AAAAADTrj9M=")</f>
        <v>#REF!</v>
      </c>
      <c r="HE13" s="1" t="e">
        <f>AND(#REF!,"AAAAADTrj9Q=")</f>
        <v>#REF!</v>
      </c>
      <c r="HF13" s="1" t="e">
        <f>AND(#REF!,"AAAAADTrj9U=")</f>
        <v>#REF!</v>
      </c>
      <c r="HG13" s="1" t="e">
        <f>AND(#REF!,"AAAAADTrj9Y=")</f>
        <v>#REF!</v>
      </c>
      <c r="HH13" s="1" t="e">
        <f>AND(#REF!,"AAAAADTrj9c=")</f>
        <v>#REF!</v>
      </c>
      <c r="HI13" s="1" t="e">
        <f>AND(#REF!,"AAAAADTrj9g=")</f>
        <v>#REF!</v>
      </c>
      <c r="HJ13" s="1" t="e">
        <f>AND(#REF!,"AAAAADTrj9k=")</f>
        <v>#REF!</v>
      </c>
      <c r="HK13" s="1" t="e">
        <f>AND(#REF!,"AAAAADTrj9o=")</f>
        <v>#REF!</v>
      </c>
      <c r="HL13" s="1" t="e">
        <f>AND(#REF!,"AAAAADTrj9s=")</f>
        <v>#REF!</v>
      </c>
      <c r="HM13" s="1" t="e">
        <f>AND(#REF!,"AAAAADTrj9w=")</f>
        <v>#REF!</v>
      </c>
      <c r="HN13" s="1" t="e">
        <f>AND(#REF!,"AAAAADTrj90=")</f>
        <v>#REF!</v>
      </c>
      <c r="HO13" s="1" t="e">
        <f>AND(#REF!,"AAAAADTrj94=")</f>
        <v>#REF!</v>
      </c>
      <c r="HP13" s="1" t="e">
        <f>AND(#REF!,"AAAAADTrj98=")</f>
        <v>#REF!</v>
      </c>
      <c r="HQ13" s="1" t="e">
        <f>AND(#REF!,"AAAAADTrj+A=")</f>
        <v>#REF!</v>
      </c>
      <c r="HR13" s="1" t="e">
        <f>AND(#REF!,"AAAAADTrj+E=")</f>
        <v>#REF!</v>
      </c>
      <c r="HS13" s="1" t="e">
        <f>AND(#REF!,"AAAAADTrj+I=")</f>
        <v>#REF!</v>
      </c>
      <c r="HT13" s="1" t="e">
        <f>AND(#REF!,"AAAAADTrj+M=")</f>
        <v>#REF!</v>
      </c>
      <c r="HU13" s="1" t="e">
        <f>AND(#REF!,"AAAAADTrj+Q=")</f>
        <v>#REF!</v>
      </c>
      <c r="HV13" s="1" t="e">
        <f>AND(#REF!,"AAAAADTrj+U=")</f>
        <v>#REF!</v>
      </c>
      <c r="HW13" s="1" t="e">
        <f>AND(#REF!,"AAAAADTrj+Y=")</f>
        <v>#REF!</v>
      </c>
      <c r="HX13" s="1" t="e">
        <f>AND(#REF!,"AAAAADTrj+c=")</f>
        <v>#REF!</v>
      </c>
      <c r="HY13" s="1" t="e">
        <f>AND(#REF!,"AAAAADTrj+g=")</f>
        <v>#REF!</v>
      </c>
      <c r="HZ13" s="1" t="e">
        <f>AND(#REF!,"AAAAADTrj+k=")</f>
        <v>#REF!</v>
      </c>
      <c r="IA13" s="1" t="e">
        <f>AND(#REF!,"AAAAADTrj+o=")</f>
        <v>#REF!</v>
      </c>
      <c r="IB13" s="1" t="e">
        <f>AND(#REF!,"AAAAADTrj+s=")</f>
        <v>#REF!</v>
      </c>
      <c r="IC13" s="1" t="e">
        <f>AND(#REF!,"AAAAADTrj+w=")</f>
        <v>#REF!</v>
      </c>
      <c r="ID13" s="1" t="e">
        <f>AND(#REF!,"AAAAADTrj+0=")</f>
        <v>#REF!</v>
      </c>
      <c r="IE13" s="1" t="e">
        <f>AND(#REF!,"AAAAADTrj+4=")</f>
        <v>#REF!</v>
      </c>
      <c r="IF13" s="1" t="e">
        <f>AND(#REF!,"AAAAADTrj+8=")</f>
        <v>#REF!</v>
      </c>
      <c r="IG13" s="1" t="e">
        <f>AND(#REF!,"AAAAADTrj/A=")</f>
        <v>#REF!</v>
      </c>
      <c r="IH13" s="1" t="e">
        <f>AND(#REF!,"AAAAADTrj/E=")</f>
        <v>#REF!</v>
      </c>
      <c r="II13" s="1" t="e">
        <f>AND(#REF!,"AAAAADTrj/I=")</f>
        <v>#REF!</v>
      </c>
      <c r="IJ13" s="1" t="e">
        <f>AND(#REF!,"AAAAADTrj/M=")</f>
        <v>#REF!</v>
      </c>
      <c r="IK13" s="1" t="e">
        <f>AND(#REF!,"AAAAADTrj/Q=")</f>
        <v>#REF!</v>
      </c>
      <c r="IL13" s="1" t="e">
        <f>AND(#REF!,"AAAAADTrj/U=")</f>
        <v>#REF!</v>
      </c>
      <c r="IM13" s="1" t="e">
        <f>AND(#REF!,"AAAAADTrj/Y=")</f>
        <v>#REF!</v>
      </c>
      <c r="IN13" s="1" t="e">
        <f>AND(#REF!,"AAAAADTrj/c=")</f>
        <v>#REF!</v>
      </c>
      <c r="IO13" s="1" t="e">
        <f>AND(#REF!,"AAAAADTrj/g=")</f>
        <v>#REF!</v>
      </c>
      <c r="IP13" s="1" t="e">
        <f>AND(#REF!,"AAAAADTrj/k=")</f>
        <v>#REF!</v>
      </c>
      <c r="IQ13" s="1" t="e">
        <f>AND(#REF!,"AAAAADTrj/o=")</f>
        <v>#REF!</v>
      </c>
      <c r="IR13" s="1" t="e">
        <f>AND(#REF!,"AAAAADTrj/s=")</f>
        <v>#REF!</v>
      </c>
      <c r="IS13" s="1" t="e">
        <f>AND(#REF!,"AAAAADTrj/w=")</f>
        <v>#REF!</v>
      </c>
      <c r="IT13" s="1" t="e">
        <f>AND(#REF!,"AAAAADTrj/0=")</f>
        <v>#REF!</v>
      </c>
      <c r="IU13" s="1" t="e">
        <f>AND(#REF!,"AAAAADTrj/4=")</f>
        <v>#REF!</v>
      </c>
      <c r="IV13" s="1" t="e">
        <f>AND(#REF!,"AAAAADTrj/8=")</f>
        <v>#REF!</v>
      </c>
    </row>
    <row r="14" spans="1:256" ht="15" customHeight="1" x14ac:dyDescent="0.2">
      <c r="A14" s="1" t="e">
        <f>AND(#REF!,"AAAAAF65VwA=")</f>
        <v>#REF!</v>
      </c>
      <c r="B14" s="1" t="e">
        <f>AND(#REF!,"AAAAAF65VwE=")</f>
        <v>#REF!</v>
      </c>
      <c r="C14" s="1" t="e">
        <f>AND(#REF!,"AAAAAF65VwI=")</f>
        <v>#REF!</v>
      </c>
      <c r="D14" s="1" t="e">
        <f>AND(#REF!,"AAAAAF65VwM=")</f>
        <v>#REF!</v>
      </c>
      <c r="E14" s="1" t="e">
        <f>AND(#REF!,"AAAAAF65VwQ=")</f>
        <v>#REF!</v>
      </c>
      <c r="F14" s="1" t="e">
        <f>AND(#REF!,"AAAAAF65VwU=")</f>
        <v>#REF!</v>
      </c>
      <c r="G14" s="1" t="e">
        <f>AND(#REF!,"AAAAAF65VwY=")</f>
        <v>#REF!</v>
      </c>
      <c r="H14" s="1" t="e">
        <f>AND(#REF!,"AAAAAF65Vwc=")</f>
        <v>#REF!</v>
      </c>
      <c r="I14" s="1" t="e">
        <f>AND(#REF!,"AAAAAF65Vwg=")</f>
        <v>#REF!</v>
      </c>
      <c r="J14" s="1" t="e">
        <f>AND(#REF!,"AAAAAF65Vwk=")</f>
        <v>#REF!</v>
      </c>
      <c r="K14" s="1" t="e">
        <f>AND(#REF!,"AAAAAF65Vwo=")</f>
        <v>#REF!</v>
      </c>
      <c r="L14" s="1" t="e">
        <f>AND(#REF!,"AAAAAF65Vws=")</f>
        <v>#REF!</v>
      </c>
      <c r="M14" s="1" t="e">
        <f>AND(#REF!,"AAAAAF65Vww=")</f>
        <v>#REF!</v>
      </c>
      <c r="N14" s="1" t="e">
        <f>AND(#REF!,"AAAAAF65Vw0=")</f>
        <v>#REF!</v>
      </c>
      <c r="O14" s="1" t="e">
        <f>AND(#REF!,"AAAAAF65Vw4=")</f>
        <v>#REF!</v>
      </c>
      <c r="P14" s="1" t="e">
        <f>AND(#REF!,"AAAAAF65Vw8=")</f>
        <v>#REF!</v>
      </c>
      <c r="Q14" s="1" t="e">
        <f>AND(#REF!,"AAAAAF65VxA=")</f>
        <v>#REF!</v>
      </c>
      <c r="R14" s="1" t="e">
        <f>AND(#REF!,"AAAAAF65VxE=")</f>
        <v>#REF!</v>
      </c>
      <c r="S14" s="1" t="e">
        <f>AND(#REF!,"AAAAAF65VxI=")</f>
        <v>#REF!</v>
      </c>
      <c r="T14" s="1" t="e">
        <f>AND(#REF!,"AAAAAF65VxM=")</f>
        <v>#REF!</v>
      </c>
      <c r="U14" s="1" t="e">
        <f>AND(#REF!,"AAAAAF65VxQ=")</f>
        <v>#REF!</v>
      </c>
      <c r="V14" s="1" t="e">
        <f>AND(#REF!,"AAAAAF65VxU=")</f>
        <v>#REF!</v>
      </c>
      <c r="W14" s="1" t="e">
        <f>IF(#REF!,"AAAAAF65VxY=",0)</f>
        <v>#REF!</v>
      </c>
      <c r="X14" s="1" t="e">
        <f>AND(#REF!,"AAAAAF65Vxc=")</f>
        <v>#REF!</v>
      </c>
      <c r="Y14" s="1" t="e">
        <f>AND(#REF!,"AAAAAF65Vxg=")</f>
        <v>#REF!</v>
      </c>
      <c r="Z14" s="1" t="e">
        <f>AND(#REF!,"AAAAAF65Vxk=")</f>
        <v>#REF!</v>
      </c>
      <c r="AA14" s="1" t="e">
        <f>AND(#REF!,"AAAAAF65Vxo=")</f>
        <v>#REF!</v>
      </c>
      <c r="AB14" s="1" t="e">
        <f>AND(#REF!,"AAAAAF65Vxs=")</f>
        <v>#REF!</v>
      </c>
      <c r="AC14" s="1" t="e">
        <f>AND(#REF!,"AAAAAF65Vxw=")</f>
        <v>#REF!</v>
      </c>
      <c r="AD14" s="1" t="e">
        <f>AND(#REF!,"AAAAAF65Vx0=")</f>
        <v>#REF!</v>
      </c>
      <c r="AE14" s="1" t="e">
        <f>AND(#REF!,"AAAAAF65Vx4=")</f>
        <v>#REF!</v>
      </c>
      <c r="AF14" s="1" t="e">
        <f>AND(#REF!,"AAAAAF65Vx8=")</f>
        <v>#REF!</v>
      </c>
      <c r="AG14" s="1" t="e">
        <f>AND(#REF!,"AAAAAF65VyA=")</f>
        <v>#REF!</v>
      </c>
      <c r="AH14" s="1" t="e">
        <f>AND(#REF!,"AAAAAF65VyE=")</f>
        <v>#REF!</v>
      </c>
      <c r="AI14" s="1" t="e">
        <f>AND(#REF!,"AAAAAF65VyI=")</f>
        <v>#REF!</v>
      </c>
      <c r="AJ14" s="1" t="e">
        <f>AND(#REF!,"AAAAAF65VyM=")</f>
        <v>#REF!</v>
      </c>
      <c r="AK14" s="1" t="e">
        <f>AND(#REF!,"AAAAAF65VyQ=")</f>
        <v>#REF!</v>
      </c>
      <c r="AL14" s="1" t="e">
        <f>AND(#REF!,"AAAAAF65VyU=")</f>
        <v>#REF!</v>
      </c>
      <c r="AM14" s="1" t="e">
        <f>AND(#REF!,"AAAAAF65VyY=")</f>
        <v>#REF!</v>
      </c>
      <c r="AN14" s="1" t="e">
        <f>AND(#REF!,"AAAAAF65Vyc=")</f>
        <v>#REF!</v>
      </c>
      <c r="AO14" s="1" t="e">
        <f>AND(#REF!,"AAAAAF65Vyg=")</f>
        <v>#REF!</v>
      </c>
      <c r="AP14" s="1" t="e">
        <f>AND(#REF!,"AAAAAF65Vyk=")</f>
        <v>#REF!</v>
      </c>
      <c r="AQ14" s="1" t="e">
        <f>AND(#REF!,"AAAAAF65Vyo=")</f>
        <v>#REF!</v>
      </c>
      <c r="AR14" s="1" t="e">
        <f>AND(#REF!,"AAAAAF65Vys=")</f>
        <v>#REF!</v>
      </c>
      <c r="AS14" s="1" t="e">
        <f>AND(#REF!,"AAAAAF65Vyw=")</f>
        <v>#REF!</v>
      </c>
      <c r="AT14" s="1" t="e">
        <f>AND(#REF!,"AAAAAF65Vy0=")</f>
        <v>#REF!</v>
      </c>
      <c r="AU14" s="1" t="e">
        <f>AND(#REF!,"AAAAAF65Vy4=")</f>
        <v>#REF!</v>
      </c>
      <c r="AV14" s="1" t="e">
        <f>AND(#REF!,"AAAAAF65Vy8=")</f>
        <v>#REF!</v>
      </c>
      <c r="AW14" s="1" t="e">
        <f>AND(#REF!,"AAAAAF65VzA=")</f>
        <v>#REF!</v>
      </c>
      <c r="AX14" s="1" t="e">
        <f>AND(#REF!,"AAAAAF65VzE=")</f>
        <v>#REF!</v>
      </c>
      <c r="AY14" s="1" t="e">
        <f>AND(#REF!,"AAAAAF65VzI=")</f>
        <v>#REF!</v>
      </c>
      <c r="AZ14" s="1" t="e">
        <f>AND(#REF!,"AAAAAF65VzM=")</f>
        <v>#REF!</v>
      </c>
      <c r="BA14" s="1" t="e">
        <f>AND(#REF!,"AAAAAF65VzQ=")</f>
        <v>#REF!</v>
      </c>
      <c r="BB14" s="1" t="e">
        <f>AND(#REF!,"AAAAAF65VzU=")</f>
        <v>#REF!</v>
      </c>
      <c r="BC14" s="1" t="e">
        <f>AND(#REF!,"AAAAAF65VzY=")</f>
        <v>#REF!</v>
      </c>
      <c r="BD14" s="1" t="e">
        <f>AND(#REF!,"AAAAAF65Vzc=")</f>
        <v>#REF!</v>
      </c>
      <c r="BE14" s="1" t="e">
        <f>AND(#REF!,"AAAAAF65Vzg=")</f>
        <v>#REF!</v>
      </c>
      <c r="BF14" s="1" t="e">
        <f>AND(#REF!,"AAAAAF65Vzk=")</f>
        <v>#REF!</v>
      </c>
      <c r="BG14" s="1" t="e">
        <f>AND(#REF!,"AAAAAF65Vzo=")</f>
        <v>#REF!</v>
      </c>
      <c r="BH14" s="1" t="e">
        <f>AND(#REF!,"AAAAAF65Vzs=")</f>
        <v>#REF!</v>
      </c>
      <c r="BI14" s="1" t="e">
        <f>AND(#REF!,"AAAAAF65Vzw=")</f>
        <v>#REF!</v>
      </c>
      <c r="BJ14" s="1" t="e">
        <f>AND(#REF!,"AAAAAF65Vz0=")</f>
        <v>#REF!</v>
      </c>
      <c r="BK14" s="1" t="e">
        <f>AND(#REF!,"AAAAAF65Vz4=")</f>
        <v>#REF!</v>
      </c>
      <c r="BL14" s="1" t="e">
        <f>AND(#REF!,"AAAAAF65Vz8=")</f>
        <v>#REF!</v>
      </c>
      <c r="BM14" s="1" t="e">
        <f>AND(#REF!,"AAAAAF65V0A=")</f>
        <v>#REF!</v>
      </c>
      <c r="BN14" s="1" t="e">
        <f>AND(#REF!,"AAAAAF65V0E=")</f>
        <v>#REF!</v>
      </c>
      <c r="BO14" s="1" t="e">
        <f>AND(#REF!,"AAAAAF65V0I=")</f>
        <v>#REF!</v>
      </c>
      <c r="BP14" s="1" t="e">
        <f>AND(#REF!,"AAAAAF65V0M=")</f>
        <v>#REF!</v>
      </c>
      <c r="BQ14" s="1" t="e">
        <f>AND(#REF!,"AAAAAF65V0Q=")</f>
        <v>#REF!</v>
      </c>
      <c r="BR14" s="1" t="e">
        <f>AND(#REF!,"AAAAAF65V0U=")</f>
        <v>#REF!</v>
      </c>
      <c r="BS14" s="1" t="e">
        <f>AND(#REF!,"AAAAAF65V0Y=")</f>
        <v>#REF!</v>
      </c>
      <c r="BT14" s="1" t="e">
        <f>AND(#REF!,"AAAAAF65V0c=")</f>
        <v>#REF!</v>
      </c>
      <c r="BU14" s="1" t="e">
        <f>AND(#REF!,"AAAAAF65V0g=")</f>
        <v>#REF!</v>
      </c>
      <c r="BV14" s="1" t="e">
        <f>AND(#REF!,"AAAAAF65V0k=")</f>
        <v>#REF!</v>
      </c>
      <c r="BW14" s="1" t="e">
        <f>AND(#REF!,"AAAAAF65V0o=")</f>
        <v>#REF!</v>
      </c>
      <c r="BX14" s="1" t="e">
        <f>AND(#REF!,"AAAAAF65V0s=")</f>
        <v>#REF!</v>
      </c>
      <c r="BY14" s="1" t="e">
        <f>AND(#REF!,"AAAAAF65V0w=")</f>
        <v>#REF!</v>
      </c>
      <c r="BZ14" s="1" t="e">
        <f>AND(#REF!,"AAAAAF65V00=")</f>
        <v>#REF!</v>
      </c>
      <c r="CA14" s="1" t="e">
        <f>AND(#REF!,"AAAAAF65V04=")</f>
        <v>#REF!</v>
      </c>
      <c r="CB14" s="1" t="e">
        <f>AND(#REF!,"AAAAAF65V08=")</f>
        <v>#REF!</v>
      </c>
      <c r="CC14" s="1" t="e">
        <f>AND(#REF!,"AAAAAF65V1A=")</f>
        <v>#REF!</v>
      </c>
      <c r="CD14" s="1" t="e">
        <f>AND(#REF!,"AAAAAF65V1E=")</f>
        <v>#REF!</v>
      </c>
      <c r="CE14" s="1" t="e">
        <f>AND(#REF!,"AAAAAF65V1I=")</f>
        <v>#REF!</v>
      </c>
      <c r="CF14" s="1" t="e">
        <f>AND(#REF!,"AAAAAF65V1M=")</f>
        <v>#REF!</v>
      </c>
      <c r="CG14" s="1" t="e">
        <f>AND(#REF!,"AAAAAF65V1Q=")</f>
        <v>#REF!</v>
      </c>
      <c r="CH14" s="1" t="e">
        <f>AND(#REF!,"AAAAAF65V1U=")</f>
        <v>#REF!</v>
      </c>
      <c r="CI14" s="1" t="e">
        <f>AND(#REF!,"AAAAAF65V1Y=")</f>
        <v>#REF!</v>
      </c>
      <c r="CJ14" s="1" t="e">
        <f>AND(#REF!,"AAAAAF65V1c=")</f>
        <v>#REF!</v>
      </c>
      <c r="CK14" s="1" t="e">
        <f>AND(#REF!,"AAAAAF65V1g=")</f>
        <v>#REF!</v>
      </c>
      <c r="CL14" s="1" t="e">
        <f>AND(#REF!,"AAAAAF65V1k=")</f>
        <v>#REF!</v>
      </c>
      <c r="CM14" s="1" t="e">
        <f>AND(#REF!,"AAAAAF65V1o=")</f>
        <v>#REF!</v>
      </c>
      <c r="CN14" s="1" t="e">
        <f>AND(#REF!,"AAAAAF65V1s=")</f>
        <v>#REF!</v>
      </c>
      <c r="CO14" s="1" t="e">
        <f>AND(#REF!,"AAAAAF65V1w=")</f>
        <v>#REF!</v>
      </c>
      <c r="CP14" s="1" t="e">
        <f>AND(#REF!,"AAAAAF65V10=")</f>
        <v>#REF!</v>
      </c>
      <c r="CQ14" s="1" t="e">
        <f>AND(#REF!,"AAAAAF65V14=")</f>
        <v>#REF!</v>
      </c>
      <c r="CR14" s="1" t="e">
        <f>AND(#REF!,"AAAAAF65V18=")</f>
        <v>#REF!</v>
      </c>
      <c r="CS14" s="1" t="e">
        <f>AND(#REF!,"AAAAAF65V2A=")</f>
        <v>#REF!</v>
      </c>
      <c r="CT14" s="1" t="e">
        <f>AND(#REF!,"AAAAAF65V2E=")</f>
        <v>#REF!</v>
      </c>
      <c r="CU14" s="1" t="e">
        <f>AND(#REF!,"AAAAAF65V2I=")</f>
        <v>#REF!</v>
      </c>
      <c r="CV14" s="1" t="e">
        <f>AND(#REF!,"AAAAAF65V2M=")</f>
        <v>#REF!</v>
      </c>
      <c r="CW14" s="1" t="e">
        <f>AND(#REF!,"AAAAAF65V2Q=")</f>
        <v>#REF!</v>
      </c>
      <c r="CX14" s="1" t="e">
        <f>AND(#REF!,"AAAAAF65V2U=")</f>
        <v>#REF!</v>
      </c>
      <c r="CY14" s="1" t="e">
        <f>AND(#REF!,"AAAAAF65V2Y=")</f>
        <v>#REF!</v>
      </c>
      <c r="CZ14" s="1" t="e">
        <f>AND(#REF!,"AAAAAF65V2c=")</f>
        <v>#REF!</v>
      </c>
      <c r="DA14" s="1" t="e">
        <f>AND(#REF!,"AAAAAF65V2g=")</f>
        <v>#REF!</v>
      </c>
      <c r="DB14" s="1" t="e">
        <f>AND(#REF!,"AAAAAF65V2k=")</f>
        <v>#REF!</v>
      </c>
      <c r="DC14" s="1" t="e">
        <f>AND(#REF!,"AAAAAF65V2o=")</f>
        <v>#REF!</v>
      </c>
      <c r="DD14" s="1" t="e">
        <f>AND(#REF!,"AAAAAF65V2s=")</f>
        <v>#REF!</v>
      </c>
      <c r="DE14" s="1" t="e">
        <f>AND(#REF!,"AAAAAF65V2w=")</f>
        <v>#REF!</v>
      </c>
      <c r="DF14" s="1" t="e">
        <f>AND(#REF!,"AAAAAF65V20=")</f>
        <v>#REF!</v>
      </c>
      <c r="DG14" s="1" t="e">
        <f>AND(#REF!,"AAAAAF65V24=")</f>
        <v>#REF!</v>
      </c>
      <c r="DH14" s="1" t="e">
        <f>AND(#REF!,"AAAAAF65V28=")</f>
        <v>#REF!</v>
      </c>
      <c r="DI14" s="1" t="e">
        <f>AND(#REF!,"AAAAAF65V3A=")</f>
        <v>#REF!</v>
      </c>
      <c r="DJ14" s="1" t="e">
        <f>AND(#REF!,"AAAAAF65V3E=")</f>
        <v>#REF!</v>
      </c>
      <c r="DK14" s="1" t="e">
        <f>AND(#REF!,"AAAAAF65V3I=")</f>
        <v>#REF!</v>
      </c>
      <c r="DL14" s="1" t="e">
        <f>AND(#REF!,"AAAAAF65V3M=")</f>
        <v>#REF!</v>
      </c>
      <c r="DM14" s="1" t="e">
        <f>AND(#REF!,"AAAAAF65V3Q=")</f>
        <v>#REF!</v>
      </c>
      <c r="DN14" s="1" t="e">
        <f>AND(#REF!,"AAAAAF65V3U=")</f>
        <v>#REF!</v>
      </c>
      <c r="DO14" s="1" t="e">
        <f>AND(#REF!,"AAAAAF65V3Y=")</f>
        <v>#REF!</v>
      </c>
      <c r="DP14" s="1" t="e">
        <f>AND(#REF!,"AAAAAF65V3c=")</f>
        <v>#REF!</v>
      </c>
      <c r="DQ14" s="1" t="e">
        <f>AND(#REF!,"AAAAAF65V3g=")</f>
        <v>#REF!</v>
      </c>
      <c r="DR14" s="1" t="e">
        <f>AND(#REF!,"AAAAAF65V3k=")</f>
        <v>#REF!</v>
      </c>
      <c r="DS14" s="1" t="e">
        <f>AND(#REF!,"AAAAAF65V3o=")</f>
        <v>#REF!</v>
      </c>
      <c r="DT14" s="1" t="e">
        <f>AND(#REF!,"AAAAAF65V3s=")</f>
        <v>#REF!</v>
      </c>
      <c r="DU14" s="1" t="e">
        <f>AND(#REF!,"AAAAAF65V3w=")</f>
        <v>#REF!</v>
      </c>
      <c r="DV14" s="1" t="e">
        <f>IF(#REF!,"AAAAAF65V30=",0)</f>
        <v>#REF!</v>
      </c>
      <c r="DW14" s="1" t="e">
        <f>AND(#REF!,"AAAAAF65V34=")</f>
        <v>#REF!</v>
      </c>
      <c r="DX14" s="1" t="e">
        <f>AND(#REF!,"AAAAAF65V38=")</f>
        <v>#REF!</v>
      </c>
      <c r="DY14" s="1" t="e">
        <f>AND(#REF!,"AAAAAF65V4A=")</f>
        <v>#REF!</v>
      </c>
      <c r="DZ14" s="1" t="e">
        <f>AND(#REF!,"AAAAAF65V4E=")</f>
        <v>#REF!</v>
      </c>
      <c r="EA14" s="1" t="e">
        <f>AND(#REF!,"AAAAAF65V4I=")</f>
        <v>#REF!</v>
      </c>
      <c r="EB14" s="1" t="e">
        <f>AND(#REF!,"AAAAAF65V4M=")</f>
        <v>#REF!</v>
      </c>
      <c r="EC14" s="1" t="e">
        <f>AND(#REF!,"AAAAAF65V4Q=")</f>
        <v>#REF!</v>
      </c>
      <c r="ED14" s="1" t="e">
        <f>AND(#REF!,"AAAAAF65V4U=")</f>
        <v>#REF!</v>
      </c>
      <c r="EE14" s="1" t="e">
        <f>AND(#REF!,"AAAAAF65V4Y=")</f>
        <v>#REF!</v>
      </c>
      <c r="EF14" s="1" t="e">
        <f>AND(#REF!,"AAAAAF65V4c=")</f>
        <v>#REF!</v>
      </c>
      <c r="EG14" s="1" t="e">
        <f>AND(#REF!,"AAAAAF65V4g=")</f>
        <v>#REF!</v>
      </c>
      <c r="EH14" s="1" t="e">
        <f>AND(#REF!,"AAAAAF65V4k=")</f>
        <v>#REF!</v>
      </c>
      <c r="EI14" s="1" t="e">
        <f>AND(#REF!,"AAAAAF65V4o=")</f>
        <v>#REF!</v>
      </c>
      <c r="EJ14" s="1" t="e">
        <f>AND(#REF!,"AAAAAF65V4s=")</f>
        <v>#REF!</v>
      </c>
      <c r="EK14" s="1" t="e">
        <f>AND(#REF!,"AAAAAF65V4w=")</f>
        <v>#REF!</v>
      </c>
      <c r="EL14" s="1" t="e">
        <f>AND(#REF!,"AAAAAF65V40=")</f>
        <v>#REF!</v>
      </c>
      <c r="EM14" s="1" t="e">
        <f>AND(#REF!,"AAAAAF65V44=")</f>
        <v>#REF!</v>
      </c>
      <c r="EN14" s="1" t="e">
        <f>AND(#REF!,"AAAAAF65V48=")</f>
        <v>#REF!</v>
      </c>
      <c r="EO14" s="1" t="e">
        <f>AND(#REF!,"AAAAAF65V5A=")</f>
        <v>#REF!</v>
      </c>
      <c r="EP14" s="1" t="e">
        <f>AND(#REF!,"AAAAAF65V5E=")</f>
        <v>#REF!</v>
      </c>
      <c r="EQ14" s="1" t="e">
        <f>AND(#REF!,"AAAAAF65V5I=")</f>
        <v>#REF!</v>
      </c>
      <c r="ER14" s="1" t="e">
        <f>AND(#REF!,"AAAAAF65V5M=")</f>
        <v>#REF!</v>
      </c>
      <c r="ES14" s="1" t="e">
        <f>AND(#REF!,"AAAAAF65V5Q=")</f>
        <v>#REF!</v>
      </c>
      <c r="ET14" s="1" t="e">
        <f>AND(#REF!,"AAAAAF65V5U=")</f>
        <v>#REF!</v>
      </c>
      <c r="EU14" s="1" t="e">
        <f>AND(#REF!,"AAAAAF65V5Y=")</f>
        <v>#REF!</v>
      </c>
      <c r="EV14" s="1" t="e">
        <f>AND(#REF!,"AAAAAF65V5c=")</f>
        <v>#REF!</v>
      </c>
      <c r="EW14" s="1" t="e">
        <f>AND(#REF!,"AAAAAF65V5g=")</f>
        <v>#REF!</v>
      </c>
      <c r="EX14" s="1" t="e">
        <f>AND(#REF!,"AAAAAF65V5k=")</f>
        <v>#REF!</v>
      </c>
      <c r="EY14" s="1" t="e">
        <f>AND(#REF!,"AAAAAF65V5o=")</f>
        <v>#REF!</v>
      </c>
      <c r="EZ14" s="1" t="e">
        <f>AND(#REF!,"AAAAAF65V5s=")</f>
        <v>#REF!</v>
      </c>
      <c r="FA14" s="1" t="e">
        <f>AND(#REF!,"AAAAAF65V5w=")</f>
        <v>#REF!</v>
      </c>
      <c r="FB14" s="1" t="e">
        <f>AND(#REF!,"AAAAAF65V50=")</f>
        <v>#REF!</v>
      </c>
      <c r="FC14" s="1" t="e">
        <f>AND(#REF!,"AAAAAF65V54=")</f>
        <v>#REF!</v>
      </c>
      <c r="FD14" s="1" t="e">
        <f>AND(#REF!,"AAAAAF65V58=")</f>
        <v>#REF!</v>
      </c>
      <c r="FE14" s="1" t="e">
        <f>AND(#REF!,"AAAAAF65V6A=")</f>
        <v>#REF!</v>
      </c>
      <c r="FF14" s="1" t="e">
        <f>AND(#REF!,"AAAAAF65V6E=")</f>
        <v>#REF!</v>
      </c>
      <c r="FG14" s="1" t="e">
        <f>AND(#REF!,"AAAAAF65V6I=")</f>
        <v>#REF!</v>
      </c>
      <c r="FH14" s="1" t="e">
        <f>AND(#REF!,"AAAAAF65V6M=")</f>
        <v>#REF!</v>
      </c>
      <c r="FI14" s="1" t="e">
        <f>AND(#REF!,"AAAAAF65V6Q=")</f>
        <v>#REF!</v>
      </c>
      <c r="FJ14" s="1" t="e">
        <f>AND(#REF!,"AAAAAF65V6U=")</f>
        <v>#REF!</v>
      </c>
      <c r="FK14" s="1" t="e">
        <f>AND(#REF!,"AAAAAF65V6Y=")</f>
        <v>#REF!</v>
      </c>
      <c r="FL14" s="1" t="e">
        <f>AND(#REF!,"AAAAAF65V6c=")</f>
        <v>#REF!</v>
      </c>
      <c r="FM14" s="1" t="e">
        <f>AND(#REF!,"AAAAAF65V6g=")</f>
        <v>#REF!</v>
      </c>
      <c r="FN14" s="1" t="e">
        <f>AND(#REF!,"AAAAAF65V6k=")</f>
        <v>#REF!</v>
      </c>
      <c r="FO14" s="1" t="e">
        <f>AND(#REF!,"AAAAAF65V6o=")</f>
        <v>#REF!</v>
      </c>
      <c r="FP14" s="1" t="e">
        <f>AND(#REF!,"AAAAAF65V6s=")</f>
        <v>#REF!</v>
      </c>
      <c r="FQ14" s="1" t="e">
        <f>AND(#REF!,"AAAAAF65V6w=")</f>
        <v>#REF!</v>
      </c>
      <c r="FR14" s="1" t="e">
        <f>AND(#REF!,"AAAAAF65V60=")</f>
        <v>#REF!</v>
      </c>
      <c r="FS14" s="1" t="e">
        <f>AND(#REF!,"AAAAAF65V64=")</f>
        <v>#REF!</v>
      </c>
      <c r="FT14" s="1" t="e">
        <f>AND(#REF!,"AAAAAF65V68=")</f>
        <v>#REF!</v>
      </c>
      <c r="FU14" s="1" t="e">
        <f>AND(#REF!,"AAAAAF65V7A=")</f>
        <v>#REF!</v>
      </c>
      <c r="FV14" s="1" t="e">
        <f>AND(#REF!,"AAAAAF65V7E=")</f>
        <v>#REF!</v>
      </c>
      <c r="FW14" s="1" t="e">
        <f>AND(#REF!,"AAAAAF65V7I=")</f>
        <v>#REF!</v>
      </c>
      <c r="FX14" s="1" t="e">
        <f>AND(#REF!,"AAAAAF65V7M=")</f>
        <v>#REF!</v>
      </c>
      <c r="FY14" s="1" t="e">
        <f>AND(#REF!,"AAAAAF65V7Q=")</f>
        <v>#REF!</v>
      </c>
      <c r="FZ14" s="1" t="e">
        <f>AND(#REF!,"AAAAAF65V7U=")</f>
        <v>#REF!</v>
      </c>
      <c r="GA14" s="1" t="e">
        <f>AND(#REF!,"AAAAAF65V7Y=")</f>
        <v>#REF!</v>
      </c>
      <c r="GB14" s="1" t="e">
        <f>AND(#REF!,"AAAAAF65V7c=")</f>
        <v>#REF!</v>
      </c>
      <c r="GC14" s="1" t="e">
        <f>AND(#REF!,"AAAAAF65V7g=")</f>
        <v>#REF!</v>
      </c>
      <c r="GD14" s="1" t="e">
        <f>AND(#REF!,"AAAAAF65V7k=")</f>
        <v>#REF!</v>
      </c>
      <c r="GE14" s="1" t="e">
        <f>AND(#REF!,"AAAAAF65V7o=")</f>
        <v>#REF!</v>
      </c>
      <c r="GF14" s="1" t="e">
        <f>AND(#REF!,"AAAAAF65V7s=")</f>
        <v>#REF!</v>
      </c>
      <c r="GG14" s="1" t="e">
        <f>AND(#REF!,"AAAAAF65V7w=")</f>
        <v>#REF!</v>
      </c>
      <c r="GH14" s="1" t="e">
        <f>AND(#REF!,"AAAAAF65V70=")</f>
        <v>#REF!</v>
      </c>
      <c r="GI14" s="1" t="e">
        <f>AND(#REF!,"AAAAAF65V74=")</f>
        <v>#REF!</v>
      </c>
      <c r="GJ14" s="1" t="e">
        <f>AND(#REF!,"AAAAAF65V78=")</f>
        <v>#REF!</v>
      </c>
      <c r="GK14" s="1" t="e">
        <f>AND(#REF!,"AAAAAF65V8A=")</f>
        <v>#REF!</v>
      </c>
      <c r="GL14" s="1" t="e">
        <f>AND(#REF!,"AAAAAF65V8E=")</f>
        <v>#REF!</v>
      </c>
      <c r="GM14" s="1" t="e">
        <f>AND(#REF!,"AAAAAF65V8I=")</f>
        <v>#REF!</v>
      </c>
      <c r="GN14" s="1" t="e">
        <f>AND(#REF!,"AAAAAF65V8M=")</f>
        <v>#REF!</v>
      </c>
      <c r="GO14" s="1" t="e">
        <f>AND(#REF!,"AAAAAF65V8Q=")</f>
        <v>#REF!</v>
      </c>
      <c r="GP14" s="1" t="e">
        <f>AND(#REF!,"AAAAAF65V8U=")</f>
        <v>#REF!</v>
      </c>
      <c r="GQ14" s="1" t="e">
        <f>AND(#REF!,"AAAAAF65V8Y=")</f>
        <v>#REF!</v>
      </c>
      <c r="GR14" s="1" t="e">
        <f>AND(#REF!,"AAAAAF65V8c=")</f>
        <v>#REF!</v>
      </c>
      <c r="GS14" s="1" t="e">
        <f>AND(#REF!,"AAAAAF65V8g=")</f>
        <v>#REF!</v>
      </c>
      <c r="GT14" s="1" t="e">
        <f>AND(#REF!,"AAAAAF65V8k=")</f>
        <v>#REF!</v>
      </c>
      <c r="GU14" s="1" t="e">
        <f>AND(#REF!,"AAAAAF65V8o=")</f>
        <v>#REF!</v>
      </c>
      <c r="GV14" s="1" t="e">
        <f>AND(#REF!,"AAAAAF65V8s=")</f>
        <v>#REF!</v>
      </c>
      <c r="GW14" s="1" t="e">
        <f>AND(#REF!,"AAAAAF65V8w=")</f>
        <v>#REF!</v>
      </c>
      <c r="GX14" s="1" t="e">
        <f>AND(#REF!,"AAAAAF65V80=")</f>
        <v>#REF!</v>
      </c>
      <c r="GY14" s="1" t="e">
        <f>AND(#REF!,"AAAAAF65V84=")</f>
        <v>#REF!</v>
      </c>
      <c r="GZ14" s="1" t="e">
        <f>AND(#REF!,"AAAAAF65V88=")</f>
        <v>#REF!</v>
      </c>
      <c r="HA14" s="1" t="e">
        <f>AND(#REF!,"AAAAAF65V9A=")</f>
        <v>#REF!</v>
      </c>
      <c r="HB14" s="1" t="e">
        <f>AND(#REF!,"AAAAAF65V9E=")</f>
        <v>#REF!</v>
      </c>
      <c r="HC14" s="1" t="e">
        <f>AND(#REF!,"AAAAAF65V9I=")</f>
        <v>#REF!</v>
      </c>
      <c r="HD14" s="1" t="e">
        <f>AND(#REF!,"AAAAAF65V9M=")</f>
        <v>#REF!</v>
      </c>
      <c r="HE14" s="1" t="e">
        <f>AND(#REF!,"AAAAAF65V9Q=")</f>
        <v>#REF!</v>
      </c>
      <c r="HF14" s="1" t="e">
        <f>AND(#REF!,"AAAAAF65V9U=")</f>
        <v>#REF!</v>
      </c>
      <c r="HG14" s="1" t="e">
        <f>AND(#REF!,"AAAAAF65V9Y=")</f>
        <v>#REF!</v>
      </c>
      <c r="HH14" s="1" t="e">
        <f>AND(#REF!,"AAAAAF65V9c=")</f>
        <v>#REF!</v>
      </c>
      <c r="HI14" s="1" t="e">
        <f>AND(#REF!,"AAAAAF65V9g=")</f>
        <v>#REF!</v>
      </c>
      <c r="HJ14" s="1" t="e">
        <f>AND(#REF!,"AAAAAF65V9k=")</f>
        <v>#REF!</v>
      </c>
      <c r="HK14" s="1" t="e">
        <f>AND(#REF!,"AAAAAF65V9o=")</f>
        <v>#REF!</v>
      </c>
      <c r="HL14" s="1" t="e">
        <f>AND(#REF!,"AAAAAF65V9s=")</f>
        <v>#REF!</v>
      </c>
      <c r="HM14" s="1" t="e">
        <f>AND(#REF!,"AAAAAF65V9w=")</f>
        <v>#REF!</v>
      </c>
      <c r="HN14" s="1" t="e">
        <f>AND(#REF!,"AAAAAF65V90=")</f>
        <v>#REF!</v>
      </c>
      <c r="HO14" s="1" t="e">
        <f>AND(#REF!,"AAAAAF65V94=")</f>
        <v>#REF!</v>
      </c>
      <c r="HP14" s="1" t="e">
        <f>AND(#REF!,"AAAAAF65V98=")</f>
        <v>#REF!</v>
      </c>
      <c r="HQ14" s="1" t="e">
        <f>AND(#REF!,"AAAAAF65V+A=")</f>
        <v>#REF!</v>
      </c>
      <c r="HR14" s="1" t="e">
        <f>AND(#REF!,"AAAAAF65V+E=")</f>
        <v>#REF!</v>
      </c>
      <c r="HS14" s="1" t="e">
        <f>AND(#REF!,"AAAAAF65V+I=")</f>
        <v>#REF!</v>
      </c>
      <c r="HT14" s="1" t="e">
        <f>AND(#REF!,"AAAAAF65V+M=")</f>
        <v>#REF!</v>
      </c>
      <c r="HU14" s="1" t="e">
        <f>IF(#REF!,"AAAAAF65V+Q=",0)</f>
        <v>#REF!</v>
      </c>
      <c r="HV14" s="1" t="e">
        <f>AND(#REF!,"AAAAAF65V+U=")</f>
        <v>#REF!</v>
      </c>
      <c r="HW14" s="1" t="e">
        <f>AND(#REF!,"AAAAAF65V+Y=")</f>
        <v>#REF!</v>
      </c>
      <c r="HX14" s="1" t="e">
        <f>AND(#REF!,"AAAAAF65V+c=")</f>
        <v>#REF!</v>
      </c>
      <c r="HY14" s="1" t="e">
        <f>AND(#REF!,"AAAAAF65V+g=")</f>
        <v>#REF!</v>
      </c>
      <c r="HZ14" s="1" t="e">
        <f>AND(#REF!,"AAAAAF65V+k=")</f>
        <v>#REF!</v>
      </c>
      <c r="IA14" s="1" t="e">
        <f>AND(#REF!,"AAAAAF65V+o=")</f>
        <v>#REF!</v>
      </c>
      <c r="IB14" s="1" t="e">
        <f>AND(#REF!,"AAAAAF65V+s=")</f>
        <v>#REF!</v>
      </c>
      <c r="IC14" s="1" t="e">
        <f>AND(#REF!,"AAAAAF65V+w=")</f>
        <v>#REF!</v>
      </c>
      <c r="ID14" s="1" t="e">
        <f>AND(#REF!,"AAAAAF65V+0=")</f>
        <v>#REF!</v>
      </c>
      <c r="IE14" s="1" t="e">
        <f>AND(#REF!,"AAAAAF65V+4=")</f>
        <v>#REF!</v>
      </c>
      <c r="IF14" s="1" t="e">
        <f>AND(#REF!,"AAAAAF65V+8=")</f>
        <v>#REF!</v>
      </c>
      <c r="IG14" s="1" t="e">
        <f>AND(#REF!,"AAAAAF65V/A=")</f>
        <v>#REF!</v>
      </c>
      <c r="IH14" s="1" t="e">
        <f>AND(#REF!,"AAAAAF65V/E=")</f>
        <v>#REF!</v>
      </c>
      <c r="II14" s="1" t="e">
        <f>AND(#REF!,"AAAAAF65V/I=")</f>
        <v>#REF!</v>
      </c>
      <c r="IJ14" s="1" t="e">
        <f>AND(#REF!,"AAAAAF65V/M=")</f>
        <v>#REF!</v>
      </c>
      <c r="IK14" s="1" t="e">
        <f>AND(#REF!,"AAAAAF65V/Q=")</f>
        <v>#REF!</v>
      </c>
      <c r="IL14" s="1" t="e">
        <f>AND(#REF!,"AAAAAF65V/U=")</f>
        <v>#REF!</v>
      </c>
      <c r="IM14" s="1" t="e">
        <f>AND(#REF!,"AAAAAF65V/Y=")</f>
        <v>#REF!</v>
      </c>
      <c r="IN14" s="1" t="e">
        <f>AND(#REF!,"AAAAAF65V/c=")</f>
        <v>#REF!</v>
      </c>
      <c r="IO14" s="1" t="e">
        <f>AND(#REF!,"AAAAAF65V/g=")</f>
        <v>#REF!</v>
      </c>
      <c r="IP14" s="1" t="e">
        <f>AND(#REF!,"AAAAAF65V/k=")</f>
        <v>#REF!</v>
      </c>
      <c r="IQ14" s="1" t="e">
        <f>AND(#REF!,"AAAAAF65V/o=")</f>
        <v>#REF!</v>
      </c>
      <c r="IR14" s="1" t="e">
        <f>AND(#REF!,"AAAAAF65V/s=")</f>
        <v>#REF!</v>
      </c>
      <c r="IS14" s="1" t="e">
        <f>AND(#REF!,"AAAAAF65V/w=")</f>
        <v>#REF!</v>
      </c>
      <c r="IT14" s="1" t="e">
        <f>AND(#REF!,"AAAAAF65V/0=")</f>
        <v>#REF!</v>
      </c>
      <c r="IU14" s="1" t="e">
        <f>AND(#REF!,"AAAAAF65V/4=")</f>
        <v>#REF!</v>
      </c>
      <c r="IV14" s="1" t="e">
        <f>AND(#REF!,"AAAAAF65V/8=")</f>
        <v>#REF!</v>
      </c>
    </row>
    <row r="15" spans="1:256" ht="15" customHeight="1" x14ac:dyDescent="0.2">
      <c r="A15" s="1" t="e">
        <f>AND(#REF!,"AAAAAH+ztwA=")</f>
        <v>#REF!</v>
      </c>
      <c r="B15" s="1" t="e">
        <f>AND(#REF!,"AAAAAH+ztwE=")</f>
        <v>#REF!</v>
      </c>
      <c r="C15" s="1" t="e">
        <f>AND(#REF!,"AAAAAH+ztwI=")</f>
        <v>#REF!</v>
      </c>
      <c r="D15" s="1" t="e">
        <f>AND(#REF!,"AAAAAH+ztwM=")</f>
        <v>#REF!</v>
      </c>
      <c r="E15" s="1" t="e">
        <f>AND(#REF!,"AAAAAH+ztwQ=")</f>
        <v>#REF!</v>
      </c>
      <c r="F15" s="1" t="e">
        <f>AND(#REF!,"AAAAAH+ztwU=")</f>
        <v>#REF!</v>
      </c>
      <c r="G15" s="1" t="e">
        <f>AND(#REF!,"AAAAAH+ztwY=")</f>
        <v>#REF!</v>
      </c>
      <c r="H15" s="1" t="e">
        <f>AND(#REF!,"AAAAAH+ztwc=")</f>
        <v>#REF!</v>
      </c>
      <c r="I15" s="1" t="e">
        <f>AND(#REF!,"AAAAAH+ztwg=")</f>
        <v>#REF!</v>
      </c>
      <c r="J15" s="1" t="e">
        <f>AND(#REF!,"AAAAAH+ztwk=")</f>
        <v>#REF!</v>
      </c>
      <c r="K15" s="1" t="e">
        <f>AND(#REF!,"AAAAAH+ztwo=")</f>
        <v>#REF!</v>
      </c>
      <c r="L15" s="1" t="e">
        <f>AND(#REF!,"AAAAAH+ztws=")</f>
        <v>#REF!</v>
      </c>
      <c r="M15" s="1" t="e">
        <f>AND(#REF!,"AAAAAH+ztww=")</f>
        <v>#REF!</v>
      </c>
      <c r="N15" s="1" t="e">
        <f>AND(#REF!,"AAAAAH+ztw0=")</f>
        <v>#REF!</v>
      </c>
      <c r="O15" s="1" t="e">
        <f>AND(#REF!,"AAAAAH+ztw4=")</f>
        <v>#REF!</v>
      </c>
      <c r="P15" s="1" t="e">
        <f>AND(#REF!,"AAAAAH+ztw8=")</f>
        <v>#REF!</v>
      </c>
      <c r="Q15" s="1" t="e">
        <f>AND(#REF!,"AAAAAH+ztxA=")</f>
        <v>#REF!</v>
      </c>
      <c r="R15" s="1" t="e">
        <f>AND(#REF!,"AAAAAH+ztxE=")</f>
        <v>#REF!</v>
      </c>
      <c r="S15" s="1" t="e">
        <f>AND(#REF!,"AAAAAH+ztxI=")</f>
        <v>#REF!</v>
      </c>
      <c r="T15" s="1" t="e">
        <f>AND(#REF!,"AAAAAH+ztxM=")</f>
        <v>#REF!</v>
      </c>
      <c r="U15" s="1" t="e">
        <f>AND(#REF!,"AAAAAH+ztxQ=")</f>
        <v>#REF!</v>
      </c>
      <c r="V15" s="1" t="e">
        <f>AND(#REF!,"AAAAAH+ztxU=")</f>
        <v>#REF!</v>
      </c>
      <c r="W15" s="1" t="e">
        <f>AND(#REF!,"AAAAAH+ztxY=")</f>
        <v>#REF!</v>
      </c>
      <c r="X15" s="1" t="e">
        <f>AND(#REF!,"AAAAAH+ztxc=")</f>
        <v>#REF!</v>
      </c>
      <c r="Y15" s="1" t="e">
        <f>AND(#REF!,"AAAAAH+ztxg=")</f>
        <v>#REF!</v>
      </c>
      <c r="Z15" s="1" t="e">
        <f>AND(#REF!,"AAAAAH+ztxk=")</f>
        <v>#REF!</v>
      </c>
      <c r="AA15" s="1" t="e">
        <f>AND(#REF!,"AAAAAH+ztxo=")</f>
        <v>#REF!</v>
      </c>
      <c r="AB15" s="1" t="e">
        <f>AND(#REF!,"AAAAAH+ztxs=")</f>
        <v>#REF!</v>
      </c>
      <c r="AC15" s="1" t="e">
        <f>AND(#REF!,"AAAAAH+ztxw=")</f>
        <v>#REF!</v>
      </c>
      <c r="AD15" s="1" t="e">
        <f>AND(#REF!,"AAAAAH+ztx0=")</f>
        <v>#REF!</v>
      </c>
      <c r="AE15" s="1" t="e">
        <f>AND(#REF!,"AAAAAH+ztx4=")</f>
        <v>#REF!</v>
      </c>
      <c r="AF15" s="1" t="e">
        <f>AND(#REF!,"AAAAAH+ztx8=")</f>
        <v>#REF!</v>
      </c>
      <c r="AG15" s="1" t="e">
        <f>AND(#REF!,"AAAAAH+ztyA=")</f>
        <v>#REF!</v>
      </c>
      <c r="AH15" s="1" t="e">
        <f>AND(#REF!,"AAAAAH+ztyE=")</f>
        <v>#REF!</v>
      </c>
      <c r="AI15" s="1" t="e">
        <f>AND(#REF!,"AAAAAH+ztyI=")</f>
        <v>#REF!</v>
      </c>
      <c r="AJ15" s="1" t="e">
        <f>AND(#REF!,"AAAAAH+ztyM=")</f>
        <v>#REF!</v>
      </c>
      <c r="AK15" s="1" t="e">
        <f>AND(#REF!,"AAAAAH+ztyQ=")</f>
        <v>#REF!</v>
      </c>
      <c r="AL15" s="1" t="e">
        <f>AND(#REF!,"AAAAAH+ztyU=")</f>
        <v>#REF!</v>
      </c>
      <c r="AM15" s="1" t="e">
        <f>AND(#REF!,"AAAAAH+ztyY=")</f>
        <v>#REF!</v>
      </c>
      <c r="AN15" s="1" t="e">
        <f>AND(#REF!,"AAAAAH+ztyc=")</f>
        <v>#REF!</v>
      </c>
      <c r="AO15" s="1" t="e">
        <f>AND(#REF!,"AAAAAH+ztyg=")</f>
        <v>#REF!</v>
      </c>
      <c r="AP15" s="1" t="e">
        <f>AND(#REF!,"AAAAAH+ztyk=")</f>
        <v>#REF!</v>
      </c>
      <c r="AQ15" s="1" t="e">
        <f>AND(#REF!,"AAAAAH+ztyo=")</f>
        <v>#REF!</v>
      </c>
      <c r="AR15" s="1" t="e">
        <f>AND(#REF!,"AAAAAH+ztys=")</f>
        <v>#REF!</v>
      </c>
      <c r="AS15" s="1" t="e">
        <f>AND(#REF!,"AAAAAH+ztyw=")</f>
        <v>#REF!</v>
      </c>
      <c r="AT15" s="1" t="e">
        <f>AND(#REF!,"AAAAAH+zty0=")</f>
        <v>#REF!</v>
      </c>
      <c r="AU15" s="1" t="e">
        <f>AND(#REF!,"AAAAAH+zty4=")</f>
        <v>#REF!</v>
      </c>
      <c r="AV15" s="1" t="e">
        <f>AND(#REF!,"AAAAAH+zty8=")</f>
        <v>#REF!</v>
      </c>
      <c r="AW15" s="1" t="e">
        <f>AND(#REF!,"AAAAAH+ztzA=")</f>
        <v>#REF!</v>
      </c>
      <c r="AX15" s="1" t="e">
        <f>AND(#REF!,"AAAAAH+ztzE=")</f>
        <v>#REF!</v>
      </c>
      <c r="AY15" s="1" t="e">
        <f>AND(#REF!,"AAAAAH+ztzI=")</f>
        <v>#REF!</v>
      </c>
      <c r="AZ15" s="1" t="e">
        <f>AND(#REF!,"AAAAAH+ztzM=")</f>
        <v>#REF!</v>
      </c>
      <c r="BA15" s="1" t="e">
        <f>AND(#REF!,"AAAAAH+ztzQ=")</f>
        <v>#REF!</v>
      </c>
      <c r="BB15" s="1" t="e">
        <f>AND(#REF!,"AAAAAH+ztzU=")</f>
        <v>#REF!</v>
      </c>
      <c r="BC15" s="1" t="e">
        <f>AND(#REF!,"AAAAAH+ztzY=")</f>
        <v>#REF!</v>
      </c>
      <c r="BD15" s="1" t="e">
        <f>AND(#REF!,"AAAAAH+ztzc=")</f>
        <v>#REF!</v>
      </c>
      <c r="BE15" s="1" t="e">
        <f>AND(#REF!,"AAAAAH+ztzg=")</f>
        <v>#REF!</v>
      </c>
      <c r="BF15" s="1" t="e">
        <f>AND(#REF!,"AAAAAH+ztzk=")</f>
        <v>#REF!</v>
      </c>
      <c r="BG15" s="1" t="e">
        <f>AND(#REF!,"AAAAAH+ztzo=")</f>
        <v>#REF!</v>
      </c>
      <c r="BH15" s="1" t="e">
        <f>AND(#REF!,"AAAAAH+ztzs=")</f>
        <v>#REF!</v>
      </c>
      <c r="BI15" s="1" t="e">
        <f>AND(#REF!,"AAAAAH+ztzw=")</f>
        <v>#REF!</v>
      </c>
      <c r="BJ15" s="1" t="e">
        <f>AND(#REF!,"AAAAAH+ztz0=")</f>
        <v>#REF!</v>
      </c>
      <c r="BK15" s="1" t="e">
        <f>AND(#REF!,"AAAAAH+ztz4=")</f>
        <v>#REF!</v>
      </c>
      <c r="BL15" s="1" t="e">
        <f>AND(#REF!,"AAAAAH+ztz8=")</f>
        <v>#REF!</v>
      </c>
      <c r="BM15" s="1" t="e">
        <f>AND(#REF!,"AAAAAH+zt0A=")</f>
        <v>#REF!</v>
      </c>
      <c r="BN15" s="1" t="e">
        <f>AND(#REF!,"AAAAAH+zt0E=")</f>
        <v>#REF!</v>
      </c>
      <c r="BO15" s="1" t="e">
        <f>AND(#REF!,"AAAAAH+zt0I=")</f>
        <v>#REF!</v>
      </c>
      <c r="BP15" s="1" t="e">
        <f>AND(#REF!,"AAAAAH+zt0M=")</f>
        <v>#REF!</v>
      </c>
      <c r="BQ15" s="1" t="e">
        <f>AND(#REF!,"AAAAAH+zt0Q=")</f>
        <v>#REF!</v>
      </c>
      <c r="BR15" s="1" t="e">
        <f>AND(#REF!,"AAAAAH+zt0U=")</f>
        <v>#REF!</v>
      </c>
      <c r="BS15" s="1" t="e">
        <f>AND(#REF!,"AAAAAH+zt0Y=")</f>
        <v>#REF!</v>
      </c>
      <c r="BT15" s="1" t="e">
        <f>AND(#REF!,"AAAAAH+zt0c=")</f>
        <v>#REF!</v>
      </c>
      <c r="BU15" s="1" t="e">
        <f>AND(#REF!,"AAAAAH+zt0g=")</f>
        <v>#REF!</v>
      </c>
      <c r="BV15" s="1" t="e">
        <f>AND(#REF!,"AAAAAH+zt0k=")</f>
        <v>#REF!</v>
      </c>
      <c r="BW15" s="1" t="e">
        <f>AND(#REF!,"AAAAAH+zt0o=")</f>
        <v>#REF!</v>
      </c>
      <c r="BX15" s="1" t="e">
        <f>IF(#REF!,"AAAAAH+zt0s=",0)</f>
        <v>#REF!</v>
      </c>
      <c r="BY15" s="1" t="e">
        <f>AND(#REF!,"AAAAAH+zt0w=")</f>
        <v>#REF!</v>
      </c>
      <c r="BZ15" s="1" t="e">
        <f>AND(#REF!,"AAAAAH+zt00=")</f>
        <v>#REF!</v>
      </c>
      <c r="CA15" s="1" t="e">
        <f>AND(#REF!,"AAAAAH+zt04=")</f>
        <v>#REF!</v>
      </c>
      <c r="CB15" s="1" t="e">
        <f>AND(#REF!,"AAAAAH+zt08=")</f>
        <v>#REF!</v>
      </c>
      <c r="CC15" s="1" t="e">
        <f>AND(#REF!,"AAAAAH+zt1A=")</f>
        <v>#REF!</v>
      </c>
      <c r="CD15" s="1" t="e">
        <f>AND(#REF!,"AAAAAH+zt1E=")</f>
        <v>#REF!</v>
      </c>
      <c r="CE15" s="1" t="e">
        <f>AND(#REF!,"AAAAAH+zt1I=")</f>
        <v>#REF!</v>
      </c>
      <c r="CF15" s="1" t="e">
        <f>AND(#REF!,"AAAAAH+zt1M=")</f>
        <v>#REF!</v>
      </c>
      <c r="CG15" s="1" t="e">
        <f>AND(#REF!,"AAAAAH+zt1Q=")</f>
        <v>#REF!</v>
      </c>
      <c r="CH15" s="1" t="e">
        <f>AND(#REF!,"AAAAAH+zt1U=")</f>
        <v>#REF!</v>
      </c>
      <c r="CI15" s="1" t="e">
        <f>AND(#REF!,"AAAAAH+zt1Y=")</f>
        <v>#REF!</v>
      </c>
      <c r="CJ15" s="1" t="e">
        <f>AND(#REF!,"AAAAAH+zt1c=")</f>
        <v>#REF!</v>
      </c>
      <c r="CK15" s="1" t="e">
        <f>AND(#REF!,"AAAAAH+zt1g=")</f>
        <v>#REF!</v>
      </c>
      <c r="CL15" s="1" t="e">
        <f>AND(#REF!,"AAAAAH+zt1k=")</f>
        <v>#REF!</v>
      </c>
      <c r="CM15" s="1" t="e">
        <f>AND(#REF!,"AAAAAH+zt1o=")</f>
        <v>#REF!</v>
      </c>
      <c r="CN15" s="1" t="e">
        <f>AND(#REF!,"AAAAAH+zt1s=")</f>
        <v>#REF!</v>
      </c>
      <c r="CO15" s="1" t="e">
        <f>AND(#REF!,"AAAAAH+zt1w=")</f>
        <v>#REF!</v>
      </c>
      <c r="CP15" s="1" t="e">
        <f>AND(#REF!,"AAAAAH+zt10=")</f>
        <v>#REF!</v>
      </c>
      <c r="CQ15" s="1" t="e">
        <f>AND(#REF!,"AAAAAH+zt14=")</f>
        <v>#REF!</v>
      </c>
      <c r="CR15" s="1" t="e">
        <f>AND(#REF!,"AAAAAH+zt18=")</f>
        <v>#REF!</v>
      </c>
      <c r="CS15" s="1" t="e">
        <f>AND(#REF!,"AAAAAH+zt2A=")</f>
        <v>#REF!</v>
      </c>
      <c r="CT15" s="1" t="e">
        <f>AND(#REF!,"AAAAAH+zt2E=")</f>
        <v>#REF!</v>
      </c>
      <c r="CU15" s="1" t="e">
        <f>AND(#REF!,"AAAAAH+zt2I=")</f>
        <v>#REF!</v>
      </c>
      <c r="CV15" s="1" t="e">
        <f>AND(#REF!,"AAAAAH+zt2M=")</f>
        <v>#REF!</v>
      </c>
      <c r="CW15" s="1" t="e">
        <f>AND(#REF!,"AAAAAH+zt2Q=")</f>
        <v>#REF!</v>
      </c>
      <c r="CX15" s="1" t="e">
        <f>AND(#REF!,"AAAAAH+zt2U=")</f>
        <v>#REF!</v>
      </c>
      <c r="CY15" s="1" t="e">
        <f>AND(#REF!,"AAAAAH+zt2Y=")</f>
        <v>#REF!</v>
      </c>
      <c r="CZ15" s="1" t="e">
        <f>AND(#REF!,"AAAAAH+zt2c=")</f>
        <v>#REF!</v>
      </c>
      <c r="DA15" s="1" t="e">
        <f>AND(#REF!,"AAAAAH+zt2g=")</f>
        <v>#REF!</v>
      </c>
      <c r="DB15" s="1" t="e">
        <f>AND(#REF!,"AAAAAH+zt2k=")</f>
        <v>#REF!</v>
      </c>
      <c r="DC15" s="1" t="e">
        <f>AND(#REF!,"AAAAAH+zt2o=")</f>
        <v>#REF!</v>
      </c>
      <c r="DD15" s="1" t="e">
        <f>AND(#REF!,"AAAAAH+zt2s=")</f>
        <v>#REF!</v>
      </c>
      <c r="DE15" s="1" t="e">
        <f>AND(#REF!,"AAAAAH+zt2w=")</f>
        <v>#REF!</v>
      </c>
      <c r="DF15" s="1" t="e">
        <f>AND(#REF!,"AAAAAH+zt20=")</f>
        <v>#REF!</v>
      </c>
      <c r="DG15" s="1" t="e">
        <f>AND(#REF!,"AAAAAH+zt24=")</f>
        <v>#REF!</v>
      </c>
      <c r="DH15" s="1" t="e">
        <f>AND(#REF!,"AAAAAH+zt28=")</f>
        <v>#REF!</v>
      </c>
      <c r="DI15" s="1" t="e">
        <f>AND(#REF!,"AAAAAH+zt3A=")</f>
        <v>#REF!</v>
      </c>
      <c r="DJ15" s="1" t="e">
        <f>AND(#REF!,"AAAAAH+zt3E=")</f>
        <v>#REF!</v>
      </c>
      <c r="DK15" s="1" t="e">
        <f>AND(#REF!,"AAAAAH+zt3I=")</f>
        <v>#REF!</v>
      </c>
      <c r="DL15" s="1" t="e">
        <f>AND(#REF!,"AAAAAH+zt3M=")</f>
        <v>#REF!</v>
      </c>
      <c r="DM15" s="1" t="e">
        <f>AND(#REF!,"AAAAAH+zt3Q=")</f>
        <v>#REF!</v>
      </c>
      <c r="DN15" s="1" t="e">
        <f>AND(#REF!,"AAAAAH+zt3U=")</f>
        <v>#REF!</v>
      </c>
      <c r="DO15" s="1" t="e">
        <f>AND(#REF!,"AAAAAH+zt3Y=")</f>
        <v>#REF!</v>
      </c>
      <c r="DP15" s="1" t="e">
        <f>AND(#REF!,"AAAAAH+zt3c=")</f>
        <v>#REF!</v>
      </c>
      <c r="DQ15" s="1" t="e">
        <f>AND(#REF!,"AAAAAH+zt3g=")</f>
        <v>#REF!</v>
      </c>
      <c r="DR15" s="1" t="e">
        <f>AND(#REF!,"AAAAAH+zt3k=")</f>
        <v>#REF!</v>
      </c>
      <c r="DS15" s="1" t="e">
        <f>AND(#REF!,"AAAAAH+zt3o=")</f>
        <v>#REF!</v>
      </c>
      <c r="DT15" s="1" t="e">
        <f>AND(#REF!,"AAAAAH+zt3s=")</f>
        <v>#REF!</v>
      </c>
      <c r="DU15" s="1" t="e">
        <f>AND(#REF!,"AAAAAH+zt3w=")</f>
        <v>#REF!</v>
      </c>
      <c r="DV15" s="1" t="e">
        <f>AND(#REF!,"AAAAAH+zt30=")</f>
        <v>#REF!</v>
      </c>
      <c r="DW15" s="1" t="e">
        <f>AND(#REF!,"AAAAAH+zt34=")</f>
        <v>#REF!</v>
      </c>
      <c r="DX15" s="1" t="e">
        <f>AND(#REF!,"AAAAAH+zt38=")</f>
        <v>#REF!</v>
      </c>
      <c r="DY15" s="1" t="e">
        <f>AND(#REF!,"AAAAAH+zt4A=")</f>
        <v>#REF!</v>
      </c>
      <c r="DZ15" s="1" t="e">
        <f>AND(#REF!,"AAAAAH+zt4E=")</f>
        <v>#REF!</v>
      </c>
      <c r="EA15" s="1" t="e">
        <f>AND(#REF!,"AAAAAH+zt4I=")</f>
        <v>#REF!</v>
      </c>
      <c r="EB15" s="1" t="e">
        <f>AND(#REF!,"AAAAAH+zt4M=")</f>
        <v>#REF!</v>
      </c>
      <c r="EC15" s="1" t="e">
        <f>AND(#REF!,"AAAAAH+zt4Q=")</f>
        <v>#REF!</v>
      </c>
      <c r="ED15" s="1" t="e">
        <f>AND(#REF!,"AAAAAH+zt4U=")</f>
        <v>#REF!</v>
      </c>
      <c r="EE15" s="1" t="e">
        <f>AND(#REF!,"AAAAAH+zt4Y=")</f>
        <v>#REF!</v>
      </c>
      <c r="EF15" s="1" t="e">
        <f>AND(#REF!,"AAAAAH+zt4c=")</f>
        <v>#REF!</v>
      </c>
      <c r="EG15" s="1" t="e">
        <f>AND(#REF!,"AAAAAH+zt4g=")</f>
        <v>#REF!</v>
      </c>
      <c r="EH15" s="1" t="e">
        <f>AND(#REF!,"AAAAAH+zt4k=")</f>
        <v>#REF!</v>
      </c>
      <c r="EI15" s="1" t="e">
        <f>AND(#REF!,"AAAAAH+zt4o=")</f>
        <v>#REF!</v>
      </c>
      <c r="EJ15" s="1" t="e">
        <f>AND(#REF!,"AAAAAH+zt4s=")</f>
        <v>#REF!</v>
      </c>
      <c r="EK15" s="1" t="e">
        <f>AND(#REF!,"AAAAAH+zt4w=")</f>
        <v>#REF!</v>
      </c>
      <c r="EL15" s="1" t="e">
        <f>AND(#REF!,"AAAAAH+zt40=")</f>
        <v>#REF!</v>
      </c>
      <c r="EM15" s="1" t="e">
        <f>AND(#REF!,"AAAAAH+zt44=")</f>
        <v>#REF!</v>
      </c>
      <c r="EN15" s="1" t="e">
        <f>AND(#REF!,"AAAAAH+zt48=")</f>
        <v>#REF!</v>
      </c>
      <c r="EO15" s="1" t="e">
        <f>AND(#REF!,"AAAAAH+zt5A=")</f>
        <v>#REF!</v>
      </c>
      <c r="EP15" s="1" t="e">
        <f>AND(#REF!,"AAAAAH+zt5E=")</f>
        <v>#REF!</v>
      </c>
      <c r="EQ15" s="1" t="e">
        <f>AND(#REF!,"AAAAAH+zt5I=")</f>
        <v>#REF!</v>
      </c>
      <c r="ER15" s="1" t="e">
        <f>AND(#REF!,"AAAAAH+zt5M=")</f>
        <v>#REF!</v>
      </c>
      <c r="ES15" s="1" t="e">
        <f>AND(#REF!,"AAAAAH+zt5Q=")</f>
        <v>#REF!</v>
      </c>
      <c r="ET15" s="1" t="e">
        <f>AND(#REF!,"AAAAAH+zt5U=")</f>
        <v>#REF!</v>
      </c>
      <c r="EU15" s="1" t="e">
        <f>AND(#REF!,"AAAAAH+zt5Y=")</f>
        <v>#REF!</v>
      </c>
      <c r="EV15" s="1" t="e">
        <f>AND(#REF!,"AAAAAH+zt5c=")</f>
        <v>#REF!</v>
      </c>
      <c r="EW15" s="1" t="e">
        <f>AND(#REF!,"AAAAAH+zt5g=")</f>
        <v>#REF!</v>
      </c>
      <c r="EX15" s="1" t="e">
        <f>AND(#REF!,"AAAAAH+zt5k=")</f>
        <v>#REF!</v>
      </c>
      <c r="EY15" s="1" t="e">
        <f>AND(#REF!,"AAAAAH+zt5o=")</f>
        <v>#REF!</v>
      </c>
      <c r="EZ15" s="1" t="e">
        <f>AND(#REF!,"AAAAAH+zt5s=")</f>
        <v>#REF!</v>
      </c>
      <c r="FA15" s="1" t="e">
        <f>AND(#REF!,"AAAAAH+zt5w=")</f>
        <v>#REF!</v>
      </c>
      <c r="FB15" s="1" t="e">
        <f>AND(#REF!,"AAAAAH+zt50=")</f>
        <v>#REF!</v>
      </c>
      <c r="FC15" s="1" t="e">
        <f>AND(#REF!,"AAAAAH+zt54=")</f>
        <v>#REF!</v>
      </c>
      <c r="FD15" s="1" t="e">
        <f>AND(#REF!,"AAAAAH+zt58=")</f>
        <v>#REF!</v>
      </c>
      <c r="FE15" s="1" t="e">
        <f>AND(#REF!,"AAAAAH+zt6A=")</f>
        <v>#REF!</v>
      </c>
      <c r="FF15" s="1" t="e">
        <f>AND(#REF!,"AAAAAH+zt6E=")</f>
        <v>#REF!</v>
      </c>
      <c r="FG15" s="1" t="e">
        <f>AND(#REF!,"AAAAAH+zt6I=")</f>
        <v>#REF!</v>
      </c>
      <c r="FH15" s="1" t="e">
        <f>AND(#REF!,"AAAAAH+zt6M=")</f>
        <v>#REF!</v>
      </c>
      <c r="FI15" s="1" t="e">
        <f>AND(#REF!,"AAAAAH+zt6Q=")</f>
        <v>#REF!</v>
      </c>
      <c r="FJ15" s="1" t="e">
        <f>AND(#REF!,"AAAAAH+zt6U=")</f>
        <v>#REF!</v>
      </c>
      <c r="FK15" s="1" t="e">
        <f>AND(#REF!,"AAAAAH+zt6Y=")</f>
        <v>#REF!</v>
      </c>
      <c r="FL15" s="1" t="e">
        <f>AND(#REF!,"AAAAAH+zt6c=")</f>
        <v>#REF!</v>
      </c>
      <c r="FM15" s="1" t="e">
        <f>AND(#REF!,"AAAAAH+zt6g=")</f>
        <v>#REF!</v>
      </c>
      <c r="FN15" s="1" t="e">
        <f>AND(#REF!,"AAAAAH+zt6k=")</f>
        <v>#REF!</v>
      </c>
      <c r="FO15" s="1" t="e">
        <f>AND(#REF!,"AAAAAH+zt6o=")</f>
        <v>#REF!</v>
      </c>
      <c r="FP15" s="1" t="e">
        <f>AND(#REF!,"AAAAAH+zt6s=")</f>
        <v>#REF!</v>
      </c>
      <c r="FQ15" s="1" t="e">
        <f>AND(#REF!,"AAAAAH+zt6w=")</f>
        <v>#REF!</v>
      </c>
      <c r="FR15" s="1" t="e">
        <f>AND(#REF!,"AAAAAH+zt60=")</f>
        <v>#REF!</v>
      </c>
      <c r="FS15" s="1" t="e">
        <f>AND(#REF!,"AAAAAH+zt64=")</f>
        <v>#REF!</v>
      </c>
      <c r="FT15" s="1" t="e">
        <f>AND(#REF!,"AAAAAH+zt68=")</f>
        <v>#REF!</v>
      </c>
      <c r="FU15" s="1" t="e">
        <f>AND(#REF!,"AAAAAH+zt7A=")</f>
        <v>#REF!</v>
      </c>
      <c r="FV15" s="1" t="e">
        <f>AND(#REF!,"AAAAAH+zt7E=")</f>
        <v>#REF!</v>
      </c>
      <c r="FW15" s="1" t="e">
        <f>IF(#REF!,"AAAAAH+zt7I=",0)</f>
        <v>#REF!</v>
      </c>
      <c r="FX15" s="1" t="e">
        <f>AND(#REF!,"AAAAAH+zt7M=")</f>
        <v>#REF!</v>
      </c>
      <c r="FY15" s="1" t="e">
        <f>AND(#REF!,"AAAAAH+zt7Q=")</f>
        <v>#REF!</v>
      </c>
      <c r="FZ15" s="1" t="e">
        <f>AND(#REF!,"AAAAAH+zt7U=")</f>
        <v>#REF!</v>
      </c>
      <c r="GA15" s="1" t="e">
        <f>AND(#REF!,"AAAAAH+zt7Y=")</f>
        <v>#REF!</v>
      </c>
      <c r="GB15" s="1" t="e">
        <f>AND(#REF!,"AAAAAH+zt7c=")</f>
        <v>#REF!</v>
      </c>
      <c r="GC15" s="1" t="e">
        <f>AND(#REF!,"AAAAAH+zt7g=")</f>
        <v>#REF!</v>
      </c>
      <c r="GD15" s="1" t="e">
        <f>AND(#REF!,"AAAAAH+zt7k=")</f>
        <v>#REF!</v>
      </c>
      <c r="GE15" s="1" t="e">
        <f>AND(#REF!,"AAAAAH+zt7o=")</f>
        <v>#REF!</v>
      </c>
      <c r="GF15" s="1" t="e">
        <f>AND(#REF!,"AAAAAH+zt7s=")</f>
        <v>#REF!</v>
      </c>
      <c r="GG15" s="1" t="e">
        <f>AND(#REF!,"AAAAAH+zt7w=")</f>
        <v>#REF!</v>
      </c>
      <c r="GH15" s="1" t="e">
        <f>AND(#REF!,"AAAAAH+zt70=")</f>
        <v>#REF!</v>
      </c>
      <c r="GI15" s="1" t="e">
        <f>AND(#REF!,"AAAAAH+zt74=")</f>
        <v>#REF!</v>
      </c>
      <c r="GJ15" s="1" t="e">
        <f>AND(#REF!,"AAAAAH+zt78=")</f>
        <v>#REF!</v>
      </c>
      <c r="GK15" s="1" t="e">
        <f>AND(#REF!,"AAAAAH+zt8A=")</f>
        <v>#REF!</v>
      </c>
      <c r="GL15" s="1" t="e">
        <f>AND(#REF!,"AAAAAH+zt8E=")</f>
        <v>#REF!</v>
      </c>
      <c r="GM15" s="1" t="e">
        <f>AND(#REF!,"AAAAAH+zt8I=")</f>
        <v>#REF!</v>
      </c>
      <c r="GN15" s="1" t="e">
        <f>AND(#REF!,"AAAAAH+zt8M=")</f>
        <v>#REF!</v>
      </c>
      <c r="GO15" s="1" t="e">
        <f>AND(#REF!,"AAAAAH+zt8Q=")</f>
        <v>#REF!</v>
      </c>
      <c r="GP15" s="1" t="e">
        <f>AND(#REF!,"AAAAAH+zt8U=")</f>
        <v>#REF!</v>
      </c>
      <c r="GQ15" s="1" t="e">
        <f>AND(#REF!,"AAAAAH+zt8Y=")</f>
        <v>#REF!</v>
      </c>
      <c r="GR15" s="1" t="e">
        <f>AND(#REF!,"AAAAAH+zt8c=")</f>
        <v>#REF!</v>
      </c>
      <c r="GS15" s="1" t="e">
        <f>AND(#REF!,"AAAAAH+zt8g=")</f>
        <v>#REF!</v>
      </c>
      <c r="GT15" s="1" t="e">
        <f>AND(#REF!,"AAAAAH+zt8k=")</f>
        <v>#REF!</v>
      </c>
      <c r="GU15" s="1" t="e">
        <f>AND(#REF!,"AAAAAH+zt8o=")</f>
        <v>#REF!</v>
      </c>
      <c r="GV15" s="1" t="e">
        <f>AND(#REF!,"AAAAAH+zt8s=")</f>
        <v>#REF!</v>
      </c>
      <c r="GW15" s="1" t="e">
        <f>AND(#REF!,"AAAAAH+zt8w=")</f>
        <v>#REF!</v>
      </c>
      <c r="GX15" s="1" t="e">
        <f>AND(#REF!,"AAAAAH+zt80=")</f>
        <v>#REF!</v>
      </c>
      <c r="GY15" s="1" t="e">
        <f>AND(#REF!,"AAAAAH+zt84=")</f>
        <v>#REF!</v>
      </c>
      <c r="GZ15" s="1" t="e">
        <f>AND(#REF!,"AAAAAH+zt88=")</f>
        <v>#REF!</v>
      </c>
      <c r="HA15" s="1" t="e">
        <f>AND(#REF!,"AAAAAH+zt9A=")</f>
        <v>#REF!</v>
      </c>
      <c r="HB15" s="1" t="e">
        <f>AND(#REF!,"AAAAAH+zt9E=")</f>
        <v>#REF!</v>
      </c>
      <c r="HC15" s="1" t="e">
        <f>AND(#REF!,"AAAAAH+zt9I=")</f>
        <v>#REF!</v>
      </c>
      <c r="HD15" s="1" t="e">
        <f>AND(#REF!,"AAAAAH+zt9M=")</f>
        <v>#REF!</v>
      </c>
      <c r="HE15" s="1" t="e">
        <f>AND(#REF!,"AAAAAH+zt9Q=")</f>
        <v>#REF!</v>
      </c>
      <c r="HF15" s="1" t="e">
        <f>AND(#REF!,"AAAAAH+zt9U=")</f>
        <v>#REF!</v>
      </c>
      <c r="HG15" s="1" t="e">
        <f>AND(#REF!,"AAAAAH+zt9Y=")</f>
        <v>#REF!</v>
      </c>
      <c r="HH15" s="1" t="e">
        <f>AND(#REF!,"AAAAAH+zt9c=")</f>
        <v>#REF!</v>
      </c>
      <c r="HI15" s="1" t="e">
        <f>AND(#REF!,"AAAAAH+zt9g=")</f>
        <v>#REF!</v>
      </c>
      <c r="HJ15" s="1" t="e">
        <f>AND(#REF!,"AAAAAH+zt9k=")</f>
        <v>#REF!</v>
      </c>
      <c r="HK15" s="1" t="e">
        <f>AND(#REF!,"AAAAAH+zt9o=")</f>
        <v>#REF!</v>
      </c>
      <c r="HL15" s="1" t="e">
        <f>AND(#REF!,"AAAAAH+zt9s=")</f>
        <v>#REF!</v>
      </c>
      <c r="HM15" s="1" t="e">
        <f>AND(#REF!,"AAAAAH+zt9w=")</f>
        <v>#REF!</v>
      </c>
      <c r="HN15" s="1" t="e">
        <f>AND(#REF!,"AAAAAH+zt90=")</f>
        <v>#REF!</v>
      </c>
      <c r="HO15" s="1" t="e">
        <f>AND(#REF!,"AAAAAH+zt94=")</f>
        <v>#REF!</v>
      </c>
      <c r="HP15" s="1" t="e">
        <f>AND(#REF!,"AAAAAH+zt98=")</f>
        <v>#REF!</v>
      </c>
      <c r="HQ15" s="1" t="e">
        <f>AND(#REF!,"AAAAAH+zt+A=")</f>
        <v>#REF!</v>
      </c>
      <c r="HR15" s="1" t="e">
        <f>AND(#REF!,"AAAAAH+zt+E=")</f>
        <v>#REF!</v>
      </c>
      <c r="HS15" s="1" t="e">
        <f>AND(#REF!,"AAAAAH+zt+I=")</f>
        <v>#REF!</v>
      </c>
      <c r="HT15" s="1" t="e">
        <f>AND(#REF!,"AAAAAH+zt+M=")</f>
        <v>#REF!</v>
      </c>
      <c r="HU15" s="1" t="e">
        <f>AND(#REF!,"AAAAAH+zt+Q=")</f>
        <v>#REF!</v>
      </c>
      <c r="HV15" s="1" t="e">
        <f>AND(#REF!,"AAAAAH+zt+U=")</f>
        <v>#REF!</v>
      </c>
      <c r="HW15" s="1" t="e">
        <f>AND(#REF!,"AAAAAH+zt+Y=")</f>
        <v>#REF!</v>
      </c>
      <c r="HX15" s="1" t="e">
        <f>AND(#REF!,"AAAAAH+zt+c=")</f>
        <v>#REF!</v>
      </c>
      <c r="HY15" s="1" t="e">
        <f>AND(#REF!,"AAAAAH+zt+g=")</f>
        <v>#REF!</v>
      </c>
      <c r="HZ15" s="1" t="e">
        <f>AND(#REF!,"AAAAAH+zt+k=")</f>
        <v>#REF!</v>
      </c>
      <c r="IA15" s="1" t="e">
        <f>AND(#REF!,"AAAAAH+zt+o=")</f>
        <v>#REF!</v>
      </c>
      <c r="IB15" s="1" t="e">
        <f>AND(#REF!,"AAAAAH+zt+s=")</f>
        <v>#REF!</v>
      </c>
      <c r="IC15" s="1" t="e">
        <f>AND(#REF!,"AAAAAH+zt+w=")</f>
        <v>#REF!</v>
      </c>
      <c r="ID15" s="1" t="e">
        <f>AND(#REF!,"AAAAAH+zt+0=")</f>
        <v>#REF!</v>
      </c>
      <c r="IE15" s="1" t="e">
        <f>AND(#REF!,"AAAAAH+zt+4=")</f>
        <v>#REF!</v>
      </c>
      <c r="IF15" s="1" t="e">
        <f>AND(#REF!,"AAAAAH+zt+8=")</f>
        <v>#REF!</v>
      </c>
      <c r="IG15" s="1" t="e">
        <f>AND(#REF!,"AAAAAH+zt/A=")</f>
        <v>#REF!</v>
      </c>
      <c r="IH15" s="1" t="e">
        <f>AND(#REF!,"AAAAAH+zt/E=")</f>
        <v>#REF!</v>
      </c>
      <c r="II15" s="1" t="e">
        <f>AND(#REF!,"AAAAAH+zt/I=")</f>
        <v>#REF!</v>
      </c>
      <c r="IJ15" s="1" t="e">
        <f>AND(#REF!,"AAAAAH+zt/M=")</f>
        <v>#REF!</v>
      </c>
      <c r="IK15" s="1" t="e">
        <f>AND(#REF!,"AAAAAH+zt/Q=")</f>
        <v>#REF!</v>
      </c>
      <c r="IL15" s="1" t="e">
        <f>AND(#REF!,"AAAAAH+zt/U=")</f>
        <v>#REF!</v>
      </c>
      <c r="IM15" s="1" t="e">
        <f>AND(#REF!,"AAAAAH+zt/Y=")</f>
        <v>#REF!</v>
      </c>
      <c r="IN15" s="1" t="e">
        <f>AND(#REF!,"AAAAAH+zt/c=")</f>
        <v>#REF!</v>
      </c>
      <c r="IO15" s="1" t="e">
        <f>AND(#REF!,"AAAAAH+zt/g=")</f>
        <v>#REF!</v>
      </c>
      <c r="IP15" s="1" t="e">
        <f>AND(#REF!,"AAAAAH+zt/k=")</f>
        <v>#REF!</v>
      </c>
      <c r="IQ15" s="1" t="e">
        <f>AND(#REF!,"AAAAAH+zt/o=")</f>
        <v>#REF!</v>
      </c>
      <c r="IR15" s="1" t="e">
        <f>AND(#REF!,"AAAAAH+zt/s=")</f>
        <v>#REF!</v>
      </c>
      <c r="IS15" s="1" t="e">
        <f>AND(#REF!,"AAAAAH+zt/w=")</f>
        <v>#REF!</v>
      </c>
      <c r="IT15" s="1" t="e">
        <f>AND(#REF!,"AAAAAH+zt/0=")</f>
        <v>#REF!</v>
      </c>
      <c r="IU15" s="1" t="e">
        <f>AND(#REF!,"AAAAAH+zt/4=")</f>
        <v>#REF!</v>
      </c>
      <c r="IV15" s="1" t="e">
        <f>AND(#REF!,"AAAAAH+zt/8=")</f>
        <v>#REF!</v>
      </c>
    </row>
    <row r="16" spans="1:256" ht="15" customHeight="1" x14ac:dyDescent="0.2">
      <c r="A16" s="1" t="e">
        <f>AND(#REF!,"AAAAAHn3/AA=")</f>
        <v>#REF!</v>
      </c>
      <c r="B16" s="1" t="e">
        <f>AND(#REF!,"AAAAAHn3/AE=")</f>
        <v>#REF!</v>
      </c>
      <c r="C16" s="1" t="e">
        <f>AND(#REF!,"AAAAAHn3/AI=")</f>
        <v>#REF!</v>
      </c>
      <c r="D16" s="1" t="e">
        <f>AND(#REF!,"AAAAAHn3/AM=")</f>
        <v>#REF!</v>
      </c>
      <c r="E16" s="1" t="e">
        <f>AND(#REF!,"AAAAAHn3/AQ=")</f>
        <v>#REF!</v>
      </c>
      <c r="F16" s="1" t="e">
        <f>AND(#REF!,"AAAAAHn3/AU=")</f>
        <v>#REF!</v>
      </c>
      <c r="G16" s="1" t="e">
        <f>AND(#REF!,"AAAAAHn3/AY=")</f>
        <v>#REF!</v>
      </c>
      <c r="H16" s="1" t="e">
        <f>AND(#REF!,"AAAAAHn3/Ac=")</f>
        <v>#REF!</v>
      </c>
      <c r="I16" s="1" t="e">
        <f>AND(#REF!,"AAAAAHn3/Ag=")</f>
        <v>#REF!</v>
      </c>
      <c r="J16" s="1" t="e">
        <f>AND(#REF!,"AAAAAHn3/Ak=")</f>
        <v>#REF!</v>
      </c>
      <c r="K16" s="1" t="e">
        <f>AND(#REF!,"AAAAAHn3/Ao=")</f>
        <v>#REF!</v>
      </c>
      <c r="L16" s="1" t="e">
        <f>AND(#REF!,"AAAAAHn3/As=")</f>
        <v>#REF!</v>
      </c>
      <c r="M16" s="1" t="e">
        <f>AND(#REF!,"AAAAAHn3/Aw=")</f>
        <v>#REF!</v>
      </c>
      <c r="N16" s="1" t="e">
        <f>AND(#REF!,"AAAAAHn3/A0=")</f>
        <v>#REF!</v>
      </c>
      <c r="O16" s="1" t="e">
        <f>AND(#REF!,"AAAAAHn3/A4=")</f>
        <v>#REF!</v>
      </c>
      <c r="P16" s="1" t="e">
        <f>AND(#REF!,"AAAAAHn3/A8=")</f>
        <v>#REF!</v>
      </c>
      <c r="Q16" s="1" t="e">
        <f>AND(#REF!,"AAAAAHn3/BA=")</f>
        <v>#REF!</v>
      </c>
      <c r="R16" s="1" t="e">
        <f>AND(#REF!,"AAAAAHn3/BE=")</f>
        <v>#REF!</v>
      </c>
      <c r="S16" s="1" t="e">
        <f>AND(#REF!,"AAAAAHn3/BI=")</f>
        <v>#REF!</v>
      </c>
      <c r="T16" s="1" t="e">
        <f>AND(#REF!,"AAAAAHn3/BM=")</f>
        <v>#REF!</v>
      </c>
      <c r="U16" s="1" t="e">
        <f>AND(#REF!,"AAAAAHn3/BQ=")</f>
        <v>#REF!</v>
      </c>
      <c r="V16" s="1" t="e">
        <f>AND(#REF!,"AAAAAHn3/BU=")</f>
        <v>#REF!</v>
      </c>
      <c r="W16" s="1" t="e">
        <f>AND(#REF!,"AAAAAHn3/BY=")</f>
        <v>#REF!</v>
      </c>
      <c r="X16" s="1" t="e">
        <f>AND(#REF!,"AAAAAHn3/Bc=")</f>
        <v>#REF!</v>
      </c>
      <c r="Y16" s="1" t="e">
        <f>AND(#REF!,"AAAAAHn3/Bg=")</f>
        <v>#REF!</v>
      </c>
      <c r="Z16" s="1" t="e">
        <f>IF(#REF!,"AAAAAHn3/Bk=",0)</f>
        <v>#REF!</v>
      </c>
      <c r="AA16" s="1" t="e">
        <f>AND(#REF!,"AAAAAHn3/Bo=")</f>
        <v>#REF!</v>
      </c>
      <c r="AB16" s="1" t="e">
        <f>AND(#REF!,"AAAAAHn3/Bs=")</f>
        <v>#REF!</v>
      </c>
      <c r="AC16" s="1" t="e">
        <f>AND(#REF!,"AAAAAHn3/Bw=")</f>
        <v>#REF!</v>
      </c>
      <c r="AD16" s="1" t="e">
        <f>AND(#REF!,"AAAAAHn3/B0=")</f>
        <v>#REF!</v>
      </c>
      <c r="AE16" s="1" t="e">
        <f>AND(#REF!,"AAAAAHn3/B4=")</f>
        <v>#REF!</v>
      </c>
      <c r="AF16" s="1" t="e">
        <f>AND(#REF!,"AAAAAHn3/B8=")</f>
        <v>#REF!</v>
      </c>
      <c r="AG16" s="1" t="e">
        <f>AND(#REF!,"AAAAAHn3/CA=")</f>
        <v>#REF!</v>
      </c>
      <c r="AH16" s="1" t="e">
        <f>AND(#REF!,"AAAAAHn3/CE=")</f>
        <v>#REF!</v>
      </c>
      <c r="AI16" s="1" t="e">
        <f>AND(#REF!,"AAAAAHn3/CI=")</f>
        <v>#REF!</v>
      </c>
      <c r="AJ16" s="1" t="e">
        <f>AND(#REF!,"AAAAAHn3/CM=")</f>
        <v>#REF!</v>
      </c>
      <c r="AK16" s="1" t="e">
        <f>AND(#REF!,"AAAAAHn3/CQ=")</f>
        <v>#REF!</v>
      </c>
      <c r="AL16" s="1" t="e">
        <f>AND(#REF!,"AAAAAHn3/CU=")</f>
        <v>#REF!</v>
      </c>
      <c r="AM16" s="1" t="e">
        <f>AND(#REF!,"AAAAAHn3/CY=")</f>
        <v>#REF!</v>
      </c>
      <c r="AN16" s="1" t="e">
        <f>AND(#REF!,"AAAAAHn3/Cc=")</f>
        <v>#REF!</v>
      </c>
      <c r="AO16" s="1" t="e">
        <f>AND(#REF!,"AAAAAHn3/Cg=")</f>
        <v>#REF!</v>
      </c>
      <c r="AP16" s="1" t="e">
        <f>AND(#REF!,"AAAAAHn3/Ck=")</f>
        <v>#REF!</v>
      </c>
      <c r="AQ16" s="1" t="e">
        <f>AND(#REF!,"AAAAAHn3/Co=")</f>
        <v>#REF!</v>
      </c>
      <c r="AR16" s="1" t="e">
        <f>AND(#REF!,"AAAAAHn3/Cs=")</f>
        <v>#REF!</v>
      </c>
      <c r="AS16" s="1" t="e">
        <f>AND(#REF!,"AAAAAHn3/Cw=")</f>
        <v>#REF!</v>
      </c>
      <c r="AT16" s="1" t="e">
        <f>AND(#REF!,"AAAAAHn3/C0=")</f>
        <v>#REF!</v>
      </c>
      <c r="AU16" s="1" t="e">
        <f>AND(#REF!,"AAAAAHn3/C4=")</f>
        <v>#REF!</v>
      </c>
      <c r="AV16" s="1" t="e">
        <f>AND(#REF!,"AAAAAHn3/C8=")</f>
        <v>#REF!</v>
      </c>
      <c r="AW16" s="1" t="e">
        <f>AND(#REF!,"AAAAAHn3/DA=")</f>
        <v>#REF!</v>
      </c>
      <c r="AX16" s="1" t="e">
        <f>AND(#REF!,"AAAAAHn3/DE=")</f>
        <v>#REF!</v>
      </c>
      <c r="AY16" s="1" t="e">
        <f>AND(#REF!,"AAAAAHn3/DI=")</f>
        <v>#REF!</v>
      </c>
      <c r="AZ16" s="1" t="e">
        <f>AND(#REF!,"AAAAAHn3/DM=")</f>
        <v>#REF!</v>
      </c>
      <c r="BA16" s="1" t="e">
        <f>AND(#REF!,"AAAAAHn3/DQ=")</f>
        <v>#REF!</v>
      </c>
      <c r="BB16" s="1" t="e">
        <f>AND(#REF!,"AAAAAHn3/DU=")</f>
        <v>#REF!</v>
      </c>
      <c r="BC16" s="1" t="e">
        <f>AND(#REF!,"AAAAAHn3/DY=")</f>
        <v>#REF!</v>
      </c>
      <c r="BD16" s="1" t="e">
        <f>AND(#REF!,"AAAAAHn3/Dc=")</f>
        <v>#REF!</v>
      </c>
      <c r="BE16" s="1" t="e">
        <f>AND(#REF!,"AAAAAHn3/Dg=")</f>
        <v>#REF!</v>
      </c>
      <c r="BF16" s="1" t="e">
        <f>AND(#REF!,"AAAAAHn3/Dk=")</f>
        <v>#REF!</v>
      </c>
      <c r="BG16" s="1" t="e">
        <f>AND(#REF!,"AAAAAHn3/Do=")</f>
        <v>#REF!</v>
      </c>
      <c r="BH16" s="1" t="e">
        <f>AND(#REF!,"AAAAAHn3/Ds=")</f>
        <v>#REF!</v>
      </c>
      <c r="BI16" s="1" t="e">
        <f>AND(#REF!,"AAAAAHn3/Dw=")</f>
        <v>#REF!</v>
      </c>
      <c r="BJ16" s="1" t="e">
        <f>AND(#REF!,"AAAAAHn3/D0=")</f>
        <v>#REF!</v>
      </c>
      <c r="BK16" s="1" t="e">
        <f>AND(#REF!,"AAAAAHn3/D4=")</f>
        <v>#REF!</v>
      </c>
      <c r="BL16" s="1" t="e">
        <f>AND(#REF!,"AAAAAHn3/D8=")</f>
        <v>#REF!</v>
      </c>
      <c r="BM16" s="1" t="e">
        <f>AND(#REF!,"AAAAAHn3/EA=")</f>
        <v>#REF!</v>
      </c>
      <c r="BN16" s="1" t="e">
        <f>AND(#REF!,"AAAAAHn3/EE=")</f>
        <v>#REF!</v>
      </c>
      <c r="BO16" s="1" t="e">
        <f>AND(#REF!,"AAAAAHn3/EI=")</f>
        <v>#REF!</v>
      </c>
      <c r="BP16" s="1" t="e">
        <f>AND(#REF!,"AAAAAHn3/EM=")</f>
        <v>#REF!</v>
      </c>
      <c r="BQ16" s="1" t="e">
        <f>AND(#REF!,"AAAAAHn3/EQ=")</f>
        <v>#REF!</v>
      </c>
      <c r="BR16" s="1" t="e">
        <f>AND(#REF!,"AAAAAHn3/EU=")</f>
        <v>#REF!</v>
      </c>
      <c r="BS16" s="1" t="e">
        <f>AND(#REF!,"AAAAAHn3/EY=")</f>
        <v>#REF!</v>
      </c>
      <c r="BT16" s="1" t="e">
        <f>AND(#REF!,"AAAAAHn3/Ec=")</f>
        <v>#REF!</v>
      </c>
      <c r="BU16" s="1" t="e">
        <f>AND(#REF!,"AAAAAHn3/Eg=")</f>
        <v>#REF!</v>
      </c>
      <c r="BV16" s="1" t="e">
        <f>AND(#REF!,"AAAAAHn3/Ek=")</f>
        <v>#REF!</v>
      </c>
      <c r="BW16" s="1" t="e">
        <f>AND(#REF!,"AAAAAHn3/Eo=")</f>
        <v>#REF!</v>
      </c>
      <c r="BX16" s="1" t="e">
        <f>AND(#REF!,"AAAAAHn3/Es=")</f>
        <v>#REF!</v>
      </c>
      <c r="BY16" s="1" t="e">
        <f>AND(#REF!,"AAAAAHn3/Ew=")</f>
        <v>#REF!</v>
      </c>
      <c r="BZ16" s="1" t="e">
        <f>AND(#REF!,"AAAAAHn3/E0=")</f>
        <v>#REF!</v>
      </c>
      <c r="CA16" s="1" t="e">
        <f>AND(#REF!,"AAAAAHn3/E4=")</f>
        <v>#REF!</v>
      </c>
      <c r="CB16" s="1" t="e">
        <f>AND(#REF!,"AAAAAHn3/E8=")</f>
        <v>#REF!</v>
      </c>
      <c r="CC16" s="1" t="e">
        <f>AND(#REF!,"AAAAAHn3/FA=")</f>
        <v>#REF!</v>
      </c>
      <c r="CD16" s="1" t="e">
        <f>AND(#REF!,"AAAAAHn3/FE=")</f>
        <v>#REF!</v>
      </c>
      <c r="CE16" s="1" t="e">
        <f>AND(#REF!,"AAAAAHn3/FI=")</f>
        <v>#REF!</v>
      </c>
      <c r="CF16" s="1" t="e">
        <f>AND(#REF!,"AAAAAHn3/FM=")</f>
        <v>#REF!</v>
      </c>
      <c r="CG16" s="1" t="e">
        <f>AND(#REF!,"AAAAAHn3/FQ=")</f>
        <v>#REF!</v>
      </c>
      <c r="CH16" s="1" t="e">
        <f>AND(#REF!,"AAAAAHn3/FU=")</f>
        <v>#REF!</v>
      </c>
      <c r="CI16" s="1" t="e">
        <f>AND(#REF!,"AAAAAHn3/FY=")</f>
        <v>#REF!</v>
      </c>
      <c r="CJ16" s="1" t="e">
        <f>AND(#REF!,"AAAAAHn3/Fc=")</f>
        <v>#REF!</v>
      </c>
      <c r="CK16" s="1" t="e">
        <f>AND(#REF!,"AAAAAHn3/Fg=")</f>
        <v>#REF!</v>
      </c>
      <c r="CL16" s="1" t="e">
        <f>AND(#REF!,"AAAAAHn3/Fk=")</f>
        <v>#REF!</v>
      </c>
      <c r="CM16" s="1" t="e">
        <f>AND(#REF!,"AAAAAHn3/Fo=")</f>
        <v>#REF!</v>
      </c>
      <c r="CN16" s="1" t="e">
        <f>AND(#REF!,"AAAAAHn3/Fs=")</f>
        <v>#REF!</v>
      </c>
      <c r="CO16" s="1" t="e">
        <f>AND(#REF!,"AAAAAHn3/Fw=")</f>
        <v>#REF!</v>
      </c>
      <c r="CP16" s="1" t="e">
        <f>AND(#REF!,"AAAAAHn3/F0=")</f>
        <v>#REF!</v>
      </c>
      <c r="CQ16" s="1" t="e">
        <f>AND(#REF!,"AAAAAHn3/F4=")</f>
        <v>#REF!</v>
      </c>
      <c r="CR16" s="1" t="e">
        <f>AND(#REF!,"AAAAAHn3/F8=")</f>
        <v>#REF!</v>
      </c>
      <c r="CS16" s="1" t="e">
        <f>AND(#REF!,"AAAAAHn3/GA=")</f>
        <v>#REF!</v>
      </c>
      <c r="CT16" s="1" t="e">
        <f>AND(#REF!,"AAAAAHn3/GE=")</f>
        <v>#REF!</v>
      </c>
      <c r="CU16" s="1" t="e">
        <f>AND(#REF!,"AAAAAHn3/GI=")</f>
        <v>#REF!</v>
      </c>
      <c r="CV16" s="1" t="e">
        <f>AND(#REF!,"AAAAAHn3/GM=")</f>
        <v>#REF!</v>
      </c>
      <c r="CW16" s="1" t="e">
        <f>AND(#REF!,"AAAAAHn3/GQ=")</f>
        <v>#REF!</v>
      </c>
      <c r="CX16" s="1" t="e">
        <f>AND(#REF!,"AAAAAHn3/GU=")</f>
        <v>#REF!</v>
      </c>
      <c r="CY16" s="1" t="e">
        <f>AND(#REF!,"AAAAAHn3/GY=")</f>
        <v>#REF!</v>
      </c>
      <c r="CZ16" s="1" t="e">
        <f>AND(#REF!,"AAAAAHn3/Gc=")</f>
        <v>#REF!</v>
      </c>
      <c r="DA16" s="1" t="e">
        <f>AND(#REF!,"AAAAAHn3/Gg=")</f>
        <v>#REF!</v>
      </c>
      <c r="DB16" s="1" t="e">
        <f>AND(#REF!,"AAAAAHn3/Gk=")</f>
        <v>#REF!</v>
      </c>
      <c r="DC16" s="1" t="e">
        <f>AND(#REF!,"AAAAAHn3/Go=")</f>
        <v>#REF!</v>
      </c>
      <c r="DD16" s="1" t="e">
        <f>AND(#REF!,"AAAAAHn3/Gs=")</f>
        <v>#REF!</v>
      </c>
      <c r="DE16" s="1" t="e">
        <f>AND(#REF!,"AAAAAHn3/Gw=")</f>
        <v>#REF!</v>
      </c>
      <c r="DF16" s="1" t="e">
        <f>AND(#REF!,"AAAAAHn3/G0=")</f>
        <v>#REF!</v>
      </c>
      <c r="DG16" s="1" t="e">
        <f>AND(#REF!,"AAAAAHn3/G4=")</f>
        <v>#REF!</v>
      </c>
      <c r="DH16" s="1" t="e">
        <f>AND(#REF!,"AAAAAHn3/G8=")</f>
        <v>#REF!</v>
      </c>
      <c r="DI16" s="1" t="e">
        <f>AND(#REF!,"AAAAAHn3/HA=")</f>
        <v>#REF!</v>
      </c>
      <c r="DJ16" s="1" t="e">
        <f>AND(#REF!,"AAAAAHn3/HE=")</f>
        <v>#REF!</v>
      </c>
      <c r="DK16" s="1" t="e">
        <f>AND(#REF!,"AAAAAHn3/HI=")</f>
        <v>#REF!</v>
      </c>
      <c r="DL16" s="1" t="e">
        <f>AND(#REF!,"AAAAAHn3/HM=")</f>
        <v>#REF!</v>
      </c>
      <c r="DM16" s="1" t="e">
        <f>AND(#REF!,"AAAAAHn3/HQ=")</f>
        <v>#REF!</v>
      </c>
      <c r="DN16" s="1" t="e">
        <f>AND(#REF!,"AAAAAHn3/HU=")</f>
        <v>#REF!</v>
      </c>
      <c r="DO16" s="1" t="e">
        <f>AND(#REF!,"AAAAAHn3/HY=")</f>
        <v>#REF!</v>
      </c>
      <c r="DP16" s="1" t="e">
        <f>AND(#REF!,"AAAAAHn3/Hc=")</f>
        <v>#REF!</v>
      </c>
      <c r="DQ16" s="1" t="e">
        <f>AND(#REF!,"AAAAAHn3/Hg=")</f>
        <v>#REF!</v>
      </c>
      <c r="DR16" s="1" t="e">
        <f>AND(#REF!,"AAAAAHn3/Hk=")</f>
        <v>#REF!</v>
      </c>
      <c r="DS16" s="1" t="e">
        <f>AND(#REF!,"AAAAAHn3/Ho=")</f>
        <v>#REF!</v>
      </c>
      <c r="DT16" s="1" t="e">
        <f>AND(#REF!,"AAAAAHn3/Hs=")</f>
        <v>#REF!</v>
      </c>
      <c r="DU16" s="1" t="e">
        <f>AND(#REF!,"AAAAAHn3/Hw=")</f>
        <v>#REF!</v>
      </c>
      <c r="DV16" s="1" t="e">
        <f>AND(#REF!,"AAAAAHn3/H0=")</f>
        <v>#REF!</v>
      </c>
      <c r="DW16" s="1" t="e">
        <f>AND(#REF!,"AAAAAHn3/H4=")</f>
        <v>#REF!</v>
      </c>
      <c r="DX16" s="1" t="e">
        <f>AND(#REF!,"AAAAAHn3/H8=")</f>
        <v>#REF!</v>
      </c>
      <c r="DY16" s="1" t="e">
        <f>IF(#REF!,"AAAAAHn3/IA=",0)</f>
        <v>#REF!</v>
      </c>
      <c r="DZ16" s="1" t="e">
        <f>AND(#REF!,"AAAAAHn3/IE=")</f>
        <v>#REF!</v>
      </c>
      <c r="EA16" s="1" t="e">
        <f>AND(#REF!,"AAAAAHn3/II=")</f>
        <v>#REF!</v>
      </c>
      <c r="EB16" s="1" t="e">
        <f>AND(#REF!,"AAAAAHn3/IM=")</f>
        <v>#REF!</v>
      </c>
      <c r="EC16" s="1" t="e">
        <f>AND(#REF!,"AAAAAHn3/IQ=")</f>
        <v>#REF!</v>
      </c>
      <c r="ED16" s="1" t="e">
        <f>AND(#REF!,"AAAAAHn3/IU=")</f>
        <v>#REF!</v>
      </c>
      <c r="EE16" s="1" t="e">
        <f>AND(#REF!,"AAAAAHn3/IY=")</f>
        <v>#REF!</v>
      </c>
      <c r="EF16" s="1" t="e">
        <f>AND(#REF!,"AAAAAHn3/Ic=")</f>
        <v>#REF!</v>
      </c>
      <c r="EG16" s="1" t="e">
        <f>AND(#REF!,"AAAAAHn3/Ig=")</f>
        <v>#REF!</v>
      </c>
      <c r="EH16" s="1" t="e">
        <f>AND(#REF!,"AAAAAHn3/Ik=")</f>
        <v>#REF!</v>
      </c>
      <c r="EI16" s="1" t="e">
        <f>AND(#REF!,"AAAAAHn3/Io=")</f>
        <v>#REF!</v>
      </c>
      <c r="EJ16" s="1" t="e">
        <f>AND(#REF!,"AAAAAHn3/Is=")</f>
        <v>#REF!</v>
      </c>
      <c r="EK16" s="1" t="e">
        <f>AND(#REF!,"AAAAAHn3/Iw=")</f>
        <v>#REF!</v>
      </c>
      <c r="EL16" s="1" t="e">
        <f>AND(#REF!,"AAAAAHn3/I0=")</f>
        <v>#REF!</v>
      </c>
      <c r="EM16" s="1" t="e">
        <f>AND(#REF!,"AAAAAHn3/I4=")</f>
        <v>#REF!</v>
      </c>
      <c r="EN16" s="1" t="e">
        <f>AND(#REF!,"AAAAAHn3/I8=")</f>
        <v>#REF!</v>
      </c>
      <c r="EO16" s="1" t="e">
        <f>AND(#REF!,"AAAAAHn3/JA=")</f>
        <v>#REF!</v>
      </c>
      <c r="EP16" s="1" t="e">
        <f>AND(#REF!,"AAAAAHn3/JE=")</f>
        <v>#REF!</v>
      </c>
      <c r="EQ16" s="1" t="e">
        <f>AND(#REF!,"AAAAAHn3/JI=")</f>
        <v>#REF!</v>
      </c>
      <c r="ER16" s="1" t="e">
        <f>AND(#REF!,"AAAAAHn3/JM=")</f>
        <v>#REF!</v>
      </c>
      <c r="ES16" s="1" t="e">
        <f>AND(#REF!,"AAAAAHn3/JQ=")</f>
        <v>#REF!</v>
      </c>
      <c r="ET16" s="1" t="e">
        <f>AND(#REF!,"AAAAAHn3/JU=")</f>
        <v>#REF!</v>
      </c>
      <c r="EU16" s="1" t="e">
        <f>AND(#REF!,"AAAAAHn3/JY=")</f>
        <v>#REF!</v>
      </c>
      <c r="EV16" s="1" t="e">
        <f>AND(#REF!,"AAAAAHn3/Jc=")</f>
        <v>#REF!</v>
      </c>
      <c r="EW16" s="1" t="e">
        <f>AND(#REF!,"AAAAAHn3/Jg=")</f>
        <v>#REF!</v>
      </c>
      <c r="EX16" s="1" t="e">
        <f>AND(#REF!,"AAAAAHn3/Jk=")</f>
        <v>#REF!</v>
      </c>
      <c r="EY16" s="1" t="e">
        <f>AND(#REF!,"AAAAAHn3/Jo=")</f>
        <v>#REF!</v>
      </c>
      <c r="EZ16" s="1" t="e">
        <f>AND(#REF!,"AAAAAHn3/Js=")</f>
        <v>#REF!</v>
      </c>
      <c r="FA16" s="1" t="e">
        <f>AND(#REF!,"AAAAAHn3/Jw=")</f>
        <v>#REF!</v>
      </c>
      <c r="FB16" s="1" t="e">
        <f>AND(#REF!,"AAAAAHn3/J0=")</f>
        <v>#REF!</v>
      </c>
      <c r="FC16" s="1" t="e">
        <f>AND(#REF!,"AAAAAHn3/J4=")</f>
        <v>#REF!</v>
      </c>
      <c r="FD16" s="1" t="e">
        <f>AND(#REF!,"AAAAAHn3/J8=")</f>
        <v>#REF!</v>
      </c>
      <c r="FE16" s="1" t="e">
        <f>AND(#REF!,"AAAAAHn3/KA=")</f>
        <v>#REF!</v>
      </c>
      <c r="FF16" s="1" t="e">
        <f>AND(#REF!,"AAAAAHn3/KE=")</f>
        <v>#REF!</v>
      </c>
      <c r="FG16" s="1" t="e">
        <f>AND(#REF!,"AAAAAHn3/KI=")</f>
        <v>#REF!</v>
      </c>
      <c r="FH16" s="1" t="e">
        <f>AND(#REF!,"AAAAAHn3/KM=")</f>
        <v>#REF!</v>
      </c>
      <c r="FI16" s="1" t="e">
        <f>AND(#REF!,"AAAAAHn3/KQ=")</f>
        <v>#REF!</v>
      </c>
      <c r="FJ16" s="1" t="e">
        <f>AND(#REF!,"AAAAAHn3/KU=")</f>
        <v>#REF!</v>
      </c>
      <c r="FK16" s="1" t="e">
        <f>AND(#REF!,"AAAAAHn3/KY=")</f>
        <v>#REF!</v>
      </c>
      <c r="FL16" s="1" t="e">
        <f>AND(#REF!,"AAAAAHn3/Kc=")</f>
        <v>#REF!</v>
      </c>
      <c r="FM16" s="1" t="e">
        <f>AND(#REF!,"AAAAAHn3/Kg=")</f>
        <v>#REF!</v>
      </c>
      <c r="FN16" s="1" t="e">
        <f>AND(#REF!,"AAAAAHn3/Kk=")</f>
        <v>#REF!</v>
      </c>
      <c r="FO16" s="1" t="e">
        <f>AND(#REF!,"AAAAAHn3/Ko=")</f>
        <v>#REF!</v>
      </c>
      <c r="FP16" s="1" t="e">
        <f>AND(#REF!,"AAAAAHn3/Ks=")</f>
        <v>#REF!</v>
      </c>
      <c r="FQ16" s="1" t="e">
        <f>AND(#REF!,"AAAAAHn3/Kw=")</f>
        <v>#REF!</v>
      </c>
      <c r="FR16" s="1" t="e">
        <f>AND(#REF!,"AAAAAHn3/K0=")</f>
        <v>#REF!</v>
      </c>
      <c r="FS16" s="1" t="e">
        <f>AND(#REF!,"AAAAAHn3/K4=")</f>
        <v>#REF!</v>
      </c>
      <c r="FT16" s="1" t="e">
        <f>AND(#REF!,"AAAAAHn3/K8=")</f>
        <v>#REF!</v>
      </c>
      <c r="FU16" s="1" t="e">
        <f>AND(#REF!,"AAAAAHn3/LA=")</f>
        <v>#REF!</v>
      </c>
      <c r="FV16" s="1" t="e">
        <f>AND(#REF!,"AAAAAHn3/LE=")</f>
        <v>#REF!</v>
      </c>
      <c r="FW16" s="1" t="e">
        <f>AND(#REF!,"AAAAAHn3/LI=")</f>
        <v>#REF!</v>
      </c>
      <c r="FX16" s="1" t="e">
        <f>AND(#REF!,"AAAAAHn3/LM=")</f>
        <v>#REF!</v>
      </c>
      <c r="FY16" s="1" t="e">
        <f>AND(#REF!,"AAAAAHn3/LQ=")</f>
        <v>#REF!</v>
      </c>
      <c r="FZ16" s="1" t="e">
        <f>AND(#REF!,"AAAAAHn3/LU=")</f>
        <v>#REF!</v>
      </c>
      <c r="GA16" s="1" t="e">
        <f>AND(#REF!,"AAAAAHn3/LY=")</f>
        <v>#REF!</v>
      </c>
      <c r="GB16" s="1" t="e">
        <f>AND(#REF!,"AAAAAHn3/Lc=")</f>
        <v>#REF!</v>
      </c>
      <c r="GC16" s="1" t="e">
        <f>AND(#REF!,"AAAAAHn3/Lg=")</f>
        <v>#REF!</v>
      </c>
      <c r="GD16" s="1" t="e">
        <f>AND(#REF!,"AAAAAHn3/Lk=")</f>
        <v>#REF!</v>
      </c>
      <c r="GE16" s="1" t="e">
        <f>AND(#REF!,"AAAAAHn3/Lo=")</f>
        <v>#REF!</v>
      </c>
      <c r="GF16" s="1" t="e">
        <f>AND(#REF!,"AAAAAHn3/Ls=")</f>
        <v>#REF!</v>
      </c>
      <c r="GG16" s="1" t="e">
        <f>AND(#REF!,"AAAAAHn3/Lw=")</f>
        <v>#REF!</v>
      </c>
      <c r="GH16" s="1" t="e">
        <f>AND(#REF!,"AAAAAHn3/L0=")</f>
        <v>#REF!</v>
      </c>
      <c r="GI16" s="1" t="e">
        <f>AND(#REF!,"AAAAAHn3/L4=")</f>
        <v>#REF!</v>
      </c>
      <c r="GJ16" s="1" t="e">
        <f>AND(#REF!,"AAAAAHn3/L8=")</f>
        <v>#REF!</v>
      </c>
      <c r="GK16" s="1" t="e">
        <f>AND(#REF!,"AAAAAHn3/MA=")</f>
        <v>#REF!</v>
      </c>
      <c r="GL16" s="1" t="e">
        <f>AND(#REF!,"AAAAAHn3/ME=")</f>
        <v>#REF!</v>
      </c>
      <c r="GM16" s="1" t="e">
        <f>AND(#REF!,"AAAAAHn3/MI=")</f>
        <v>#REF!</v>
      </c>
      <c r="GN16" s="1" t="e">
        <f>AND(#REF!,"AAAAAHn3/MM=")</f>
        <v>#REF!</v>
      </c>
      <c r="GO16" s="1" t="e">
        <f>AND(#REF!,"AAAAAHn3/MQ=")</f>
        <v>#REF!</v>
      </c>
      <c r="GP16" s="1" t="e">
        <f>AND(#REF!,"AAAAAHn3/MU=")</f>
        <v>#REF!</v>
      </c>
      <c r="GQ16" s="1" t="e">
        <f>AND(#REF!,"AAAAAHn3/MY=")</f>
        <v>#REF!</v>
      </c>
      <c r="GR16" s="1" t="e">
        <f>AND(#REF!,"AAAAAHn3/Mc=")</f>
        <v>#REF!</v>
      </c>
      <c r="GS16" s="1" t="e">
        <f>AND(#REF!,"AAAAAHn3/Mg=")</f>
        <v>#REF!</v>
      </c>
      <c r="GT16" s="1" t="e">
        <f>AND(#REF!,"AAAAAHn3/Mk=")</f>
        <v>#REF!</v>
      </c>
      <c r="GU16" s="1" t="e">
        <f>AND(#REF!,"AAAAAHn3/Mo=")</f>
        <v>#REF!</v>
      </c>
      <c r="GV16" s="1" t="e">
        <f>AND(#REF!,"AAAAAHn3/Ms=")</f>
        <v>#REF!</v>
      </c>
      <c r="GW16" s="1" t="e">
        <f>AND(#REF!,"AAAAAHn3/Mw=")</f>
        <v>#REF!</v>
      </c>
      <c r="GX16" s="1" t="e">
        <f>AND(#REF!,"AAAAAHn3/M0=")</f>
        <v>#REF!</v>
      </c>
      <c r="GY16" s="1" t="e">
        <f>AND(#REF!,"AAAAAHn3/M4=")</f>
        <v>#REF!</v>
      </c>
      <c r="GZ16" s="1" t="e">
        <f>AND(#REF!,"AAAAAHn3/M8=")</f>
        <v>#REF!</v>
      </c>
      <c r="HA16" s="1" t="e">
        <f>AND(#REF!,"AAAAAHn3/NA=")</f>
        <v>#REF!</v>
      </c>
      <c r="HB16" s="1" t="e">
        <f>AND(#REF!,"AAAAAHn3/NE=")</f>
        <v>#REF!</v>
      </c>
      <c r="HC16" s="1" t="e">
        <f>AND(#REF!,"AAAAAHn3/NI=")</f>
        <v>#REF!</v>
      </c>
      <c r="HD16" s="1" t="e">
        <f>AND(#REF!,"AAAAAHn3/NM=")</f>
        <v>#REF!</v>
      </c>
      <c r="HE16" s="1" t="e">
        <f>AND(#REF!,"AAAAAHn3/NQ=")</f>
        <v>#REF!</v>
      </c>
      <c r="HF16" s="1" t="e">
        <f>AND(#REF!,"AAAAAHn3/NU=")</f>
        <v>#REF!</v>
      </c>
      <c r="HG16" s="1" t="e">
        <f>AND(#REF!,"AAAAAHn3/NY=")</f>
        <v>#REF!</v>
      </c>
      <c r="HH16" s="1" t="e">
        <f>AND(#REF!,"AAAAAHn3/Nc=")</f>
        <v>#REF!</v>
      </c>
      <c r="HI16" s="1" t="e">
        <f>AND(#REF!,"AAAAAHn3/Ng=")</f>
        <v>#REF!</v>
      </c>
      <c r="HJ16" s="1" t="e">
        <f>AND(#REF!,"AAAAAHn3/Nk=")</f>
        <v>#REF!</v>
      </c>
      <c r="HK16" s="1" t="e">
        <f>AND(#REF!,"AAAAAHn3/No=")</f>
        <v>#REF!</v>
      </c>
      <c r="HL16" s="1" t="e">
        <f>AND(#REF!,"AAAAAHn3/Ns=")</f>
        <v>#REF!</v>
      </c>
      <c r="HM16" s="1" t="e">
        <f>AND(#REF!,"AAAAAHn3/Nw=")</f>
        <v>#REF!</v>
      </c>
      <c r="HN16" s="1" t="e">
        <f>AND(#REF!,"AAAAAHn3/N0=")</f>
        <v>#REF!</v>
      </c>
      <c r="HO16" s="1" t="e">
        <f>AND(#REF!,"AAAAAHn3/N4=")</f>
        <v>#REF!</v>
      </c>
      <c r="HP16" s="1" t="e">
        <f>AND(#REF!,"AAAAAHn3/N8=")</f>
        <v>#REF!</v>
      </c>
      <c r="HQ16" s="1" t="e">
        <f>AND(#REF!,"AAAAAHn3/OA=")</f>
        <v>#REF!</v>
      </c>
      <c r="HR16" s="1" t="e">
        <f>AND(#REF!,"AAAAAHn3/OE=")</f>
        <v>#REF!</v>
      </c>
      <c r="HS16" s="1" t="e">
        <f>AND(#REF!,"AAAAAHn3/OI=")</f>
        <v>#REF!</v>
      </c>
      <c r="HT16" s="1" t="e">
        <f>AND(#REF!,"AAAAAHn3/OM=")</f>
        <v>#REF!</v>
      </c>
      <c r="HU16" s="1" t="e">
        <f>AND(#REF!,"AAAAAHn3/OQ=")</f>
        <v>#REF!</v>
      </c>
      <c r="HV16" s="1" t="e">
        <f>AND(#REF!,"AAAAAHn3/OU=")</f>
        <v>#REF!</v>
      </c>
      <c r="HW16" s="1" t="e">
        <f>AND(#REF!,"AAAAAHn3/OY=")</f>
        <v>#REF!</v>
      </c>
      <c r="HX16" s="1" t="e">
        <f>IF(#REF!,"AAAAAHn3/Oc=",0)</f>
        <v>#REF!</v>
      </c>
      <c r="HY16" s="1" t="e">
        <f>AND(#REF!,"AAAAAHn3/Og=")</f>
        <v>#REF!</v>
      </c>
      <c r="HZ16" s="1" t="e">
        <f>AND(#REF!,"AAAAAHn3/Ok=")</f>
        <v>#REF!</v>
      </c>
      <c r="IA16" s="1" t="e">
        <f>AND(#REF!,"AAAAAHn3/Oo=")</f>
        <v>#REF!</v>
      </c>
      <c r="IB16" s="1" t="e">
        <f>AND(#REF!,"AAAAAHn3/Os=")</f>
        <v>#REF!</v>
      </c>
      <c r="IC16" s="1" t="e">
        <f>AND(#REF!,"AAAAAHn3/Ow=")</f>
        <v>#REF!</v>
      </c>
      <c r="ID16" s="1" t="e">
        <f>AND(#REF!,"AAAAAHn3/O0=")</f>
        <v>#REF!</v>
      </c>
      <c r="IE16" s="1" t="e">
        <f>AND(#REF!,"AAAAAHn3/O4=")</f>
        <v>#REF!</v>
      </c>
      <c r="IF16" s="1" t="e">
        <f>AND(#REF!,"AAAAAHn3/O8=")</f>
        <v>#REF!</v>
      </c>
      <c r="IG16" s="1" t="e">
        <f>AND(#REF!,"AAAAAHn3/PA=")</f>
        <v>#REF!</v>
      </c>
      <c r="IH16" s="1" t="e">
        <f>AND(#REF!,"AAAAAHn3/PE=")</f>
        <v>#REF!</v>
      </c>
      <c r="II16" s="1" t="e">
        <f>AND(#REF!,"AAAAAHn3/PI=")</f>
        <v>#REF!</v>
      </c>
      <c r="IJ16" s="1" t="e">
        <f>AND(#REF!,"AAAAAHn3/PM=")</f>
        <v>#REF!</v>
      </c>
      <c r="IK16" s="1" t="e">
        <f>AND(#REF!,"AAAAAHn3/PQ=")</f>
        <v>#REF!</v>
      </c>
      <c r="IL16" s="1" t="e">
        <f>AND(#REF!,"AAAAAHn3/PU=")</f>
        <v>#REF!</v>
      </c>
      <c r="IM16" s="1" t="e">
        <f>AND(#REF!,"AAAAAHn3/PY=")</f>
        <v>#REF!</v>
      </c>
      <c r="IN16" s="1" t="e">
        <f>AND(#REF!,"AAAAAHn3/Pc=")</f>
        <v>#REF!</v>
      </c>
      <c r="IO16" s="1" t="e">
        <f>AND(#REF!,"AAAAAHn3/Pg=")</f>
        <v>#REF!</v>
      </c>
      <c r="IP16" s="1" t="e">
        <f>AND(#REF!,"AAAAAHn3/Pk=")</f>
        <v>#REF!</v>
      </c>
      <c r="IQ16" s="1" t="e">
        <f>AND(#REF!,"AAAAAHn3/Po=")</f>
        <v>#REF!</v>
      </c>
      <c r="IR16" s="1" t="e">
        <f>AND(#REF!,"AAAAAHn3/Ps=")</f>
        <v>#REF!</v>
      </c>
      <c r="IS16" s="1" t="e">
        <f>AND(#REF!,"AAAAAHn3/Pw=")</f>
        <v>#REF!</v>
      </c>
      <c r="IT16" s="1" t="e">
        <f>AND(#REF!,"AAAAAHn3/P0=")</f>
        <v>#REF!</v>
      </c>
      <c r="IU16" s="1" t="e">
        <f>AND(#REF!,"AAAAAHn3/P4=")</f>
        <v>#REF!</v>
      </c>
      <c r="IV16" s="1" t="e">
        <f>AND(#REF!,"AAAAAHn3/P8=")</f>
        <v>#REF!</v>
      </c>
    </row>
    <row r="17" spans="1:256" ht="15" customHeight="1" x14ac:dyDescent="0.2">
      <c r="A17" s="1" t="e">
        <f>AND(#REF!,"AAAAAE//XwA=")</f>
        <v>#REF!</v>
      </c>
      <c r="B17" s="1" t="e">
        <f>AND(#REF!,"AAAAAE//XwE=")</f>
        <v>#REF!</v>
      </c>
      <c r="C17" s="1" t="e">
        <f>AND(#REF!,"AAAAAE//XwI=")</f>
        <v>#REF!</v>
      </c>
      <c r="D17" s="1" t="e">
        <f>AND(#REF!,"AAAAAE//XwM=")</f>
        <v>#REF!</v>
      </c>
      <c r="E17" s="1" t="e">
        <f>AND(#REF!,"AAAAAE//XwQ=")</f>
        <v>#REF!</v>
      </c>
      <c r="F17" s="1" t="e">
        <f>AND(#REF!,"AAAAAE//XwU=")</f>
        <v>#REF!</v>
      </c>
      <c r="G17" s="1" t="e">
        <f>AND(#REF!,"AAAAAE//XwY=")</f>
        <v>#REF!</v>
      </c>
      <c r="H17" s="1" t="e">
        <f>AND(#REF!,"AAAAAE//Xwc=")</f>
        <v>#REF!</v>
      </c>
      <c r="I17" s="1" t="e">
        <f>AND(#REF!,"AAAAAE//Xwg=")</f>
        <v>#REF!</v>
      </c>
      <c r="J17" s="1" t="e">
        <f>AND(#REF!,"AAAAAE//Xwk=")</f>
        <v>#REF!</v>
      </c>
      <c r="K17" s="1" t="e">
        <f>AND(#REF!,"AAAAAE//Xwo=")</f>
        <v>#REF!</v>
      </c>
      <c r="L17" s="1" t="e">
        <f>AND(#REF!,"AAAAAE//Xws=")</f>
        <v>#REF!</v>
      </c>
      <c r="M17" s="1" t="e">
        <f>AND(#REF!,"AAAAAE//Xww=")</f>
        <v>#REF!</v>
      </c>
      <c r="N17" s="1" t="e">
        <f>AND(#REF!,"AAAAAE//Xw0=")</f>
        <v>#REF!</v>
      </c>
      <c r="O17" s="1" t="e">
        <f>AND(#REF!,"AAAAAE//Xw4=")</f>
        <v>#REF!</v>
      </c>
      <c r="P17" s="1" t="e">
        <f>AND(#REF!,"AAAAAE//Xw8=")</f>
        <v>#REF!</v>
      </c>
      <c r="Q17" s="1" t="e">
        <f>AND(#REF!,"AAAAAE//XxA=")</f>
        <v>#REF!</v>
      </c>
      <c r="R17" s="1" t="e">
        <f>AND(#REF!,"AAAAAE//XxE=")</f>
        <v>#REF!</v>
      </c>
      <c r="S17" s="1" t="e">
        <f>AND(#REF!,"AAAAAE//XxI=")</f>
        <v>#REF!</v>
      </c>
      <c r="T17" s="1" t="e">
        <f>AND(#REF!,"AAAAAE//XxM=")</f>
        <v>#REF!</v>
      </c>
      <c r="U17" s="1" t="e">
        <f>AND(#REF!,"AAAAAE//XxQ=")</f>
        <v>#REF!</v>
      </c>
      <c r="V17" s="1" t="e">
        <f>AND(#REF!,"AAAAAE//XxU=")</f>
        <v>#REF!</v>
      </c>
      <c r="W17" s="1" t="e">
        <f>AND(#REF!,"AAAAAE//XxY=")</f>
        <v>#REF!</v>
      </c>
      <c r="X17" s="1" t="e">
        <f>AND(#REF!,"AAAAAE//Xxc=")</f>
        <v>#REF!</v>
      </c>
      <c r="Y17" s="1" t="e">
        <f>AND(#REF!,"AAAAAE//Xxg=")</f>
        <v>#REF!</v>
      </c>
      <c r="Z17" s="1" t="e">
        <f>AND(#REF!,"AAAAAE//Xxk=")</f>
        <v>#REF!</v>
      </c>
      <c r="AA17" s="1" t="e">
        <f>AND(#REF!,"AAAAAE//Xxo=")</f>
        <v>#REF!</v>
      </c>
      <c r="AB17" s="1" t="e">
        <f>AND(#REF!,"AAAAAE//Xxs=")</f>
        <v>#REF!</v>
      </c>
      <c r="AC17" s="1" t="e">
        <f>AND(#REF!,"AAAAAE//Xxw=")</f>
        <v>#REF!</v>
      </c>
      <c r="AD17" s="1" t="e">
        <f>AND(#REF!,"AAAAAE//Xx0=")</f>
        <v>#REF!</v>
      </c>
      <c r="AE17" s="1" t="e">
        <f>AND(#REF!,"AAAAAE//Xx4=")</f>
        <v>#REF!</v>
      </c>
      <c r="AF17" s="1" t="e">
        <f>AND(#REF!,"AAAAAE//Xx8=")</f>
        <v>#REF!</v>
      </c>
      <c r="AG17" s="1" t="e">
        <f>AND(#REF!,"AAAAAE//XyA=")</f>
        <v>#REF!</v>
      </c>
      <c r="AH17" s="1" t="e">
        <f>AND(#REF!,"AAAAAE//XyE=")</f>
        <v>#REF!</v>
      </c>
      <c r="AI17" s="1" t="e">
        <f>AND(#REF!,"AAAAAE//XyI=")</f>
        <v>#REF!</v>
      </c>
      <c r="AJ17" s="1" t="e">
        <f>AND(#REF!,"AAAAAE//XyM=")</f>
        <v>#REF!</v>
      </c>
      <c r="AK17" s="1" t="e">
        <f>AND(#REF!,"AAAAAE//XyQ=")</f>
        <v>#REF!</v>
      </c>
      <c r="AL17" s="1" t="e">
        <f>AND(#REF!,"AAAAAE//XyU=")</f>
        <v>#REF!</v>
      </c>
      <c r="AM17" s="1" t="e">
        <f>AND(#REF!,"AAAAAE//XyY=")</f>
        <v>#REF!</v>
      </c>
      <c r="AN17" s="1" t="e">
        <f>AND(#REF!,"AAAAAE//Xyc=")</f>
        <v>#REF!</v>
      </c>
      <c r="AO17" s="1" t="e">
        <f>AND(#REF!,"AAAAAE//Xyg=")</f>
        <v>#REF!</v>
      </c>
      <c r="AP17" s="1" t="e">
        <f>AND(#REF!,"AAAAAE//Xyk=")</f>
        <v>#REF!</v>
      </c>
      <c r="AQ17" s="1" t="e">
        <f>AND(#REF!,"AAAAAE//Xyo=")</f>
        <v>#REF!</v>
      </c>
      <c r="AR17" s="1" t="e">
        <f>AND(#REF!,"AAAAAE//Xys=")</f>
        <v>#REF!</v>
      </c>
      <c r="AS17" s="1" t="e">
        <f>AND(#REF!,"AAAAAE//Xyw=")</f>
        <v>#REF!</v>
      </c>
      <c r="AT17" s="1" t="e">
        <f>AND(#REF!,"AAAAAE//Xy0=")</f>
        <v>#REF!</v>
      </c>
      <c r="AU17" s="1" t="e">
        <f>AND(#REF!,"AAAAAE//Xy4=")</f>
        <v>#REF!</v>
      </c>
      <c r="AV17" s="1" t="e">
        <f>AND(#REF!,"AAAAAE//Xy8=")</f>
        <v>#REF!</v>
      </c>
      <c r="AW17" s="1" t="e">
        <f>AND(#REF!,"AAAAAE//XzA=")</f>
        <v>#REF!</v>
      </c>
      <c r="AX17" s="1" t="e">
        <f>AND(#REF!,"AAAAAE//XzE=")</f>
        <v>#REF!</v>
      </c>
      <c r="AY17" s="1" t="e">
        <f>AND(#REF!,"AAAAAE//XzI=")</f>
        <v>#REF!</v>
      </c>
      <c r="AZ17" s="1" t="e">
        <f>AND(#REF!,"AAAAAE//XzM=")</f>
        <v>#REF!</v>
      </c>
      <c r="BA17" s="1" t="e">
        <f>AND(#REF!,"AAAAAE//XzQ=")</f>
        <v>#REF!</v>
      </c>
      <c r="BB17" s="1" t="e">
        <f>AND(#REF!,"AAAAAE//XzU=")</f>
        <v>#REF!</v>
      </c>
      <c r="BC17" s="1" t="e">
        <f>AND(#REF!,"AAAAAE//XzY=")</f>
        <v>#REF!</v>
      </c>
      <c r="BD17" s="1" t="e">
        <f>AND(#REF!,"AAAAAE//Xzc=")</f>
        <v>#REF!</v>
      </c>
      <c r="BE17" s="1" t="e">
        <f>AND(#REF!,"AAAAAE//Xzg=")</f>
        <v>#REF!</v>
      </c>
      <c r="BF17" s="1" t="e">
        <f>AND(#REF!,"AAAAAE//Xzk=")</f>
        <v>#REF!</v>
      </c>
      <c r="BG17" s="1" t="e">
        <f>AND(#REF!,"AAAAAE//Xzo=")</f>
        <v>#REF!</v>
      </c>
      <c r="BH17" s="1" t="e">
        <f>AND(#REF!,"AAAAAE//Xzs=")</f>
        <v>#REF!</v>
      </c>
      <c r="BI17" s="1" t="e">
        <f>AND(#REF!,"AAAAAE//Xzw=")</f>
        <v>#REF!</v>
      </c>
      <c r="BJ17" s="1" t="e">
        <f>AND(#REF!,"AAAAAE//Xz0=")</f>
        <v>#REF!</v>
      </c>
      <c r="BK17" s="1" t="e">
        <f>AND(#REF!,"AAAAAE//Xz4=")</f>
        <v>#REF!</v>
      </c>
      <c r="BL17" s="1" t="e">
        <f>AND(#REF!,"AAAAAE//Xz8=")</f>
        <v>#REF!</v>
      </c>
      <c r="BM17" s="1" t="e">
        <f>AND(#REF!,"AAAAAE//X0A=")</f>
        <v>#REF!</v>
      </c>
      <c r="BN17" s="1" t="e">
        <f>AND(#REF!,"AAAAAE//X0E=")</f>
        <v>#REF!</v>
      </c>
      <c r="BO17" s="1" t="e">
        <f>AND(#REF!,"AAAAAE//X0I=")</f>
        <v>#REF!</v>
      </c>
      <c r="BP17" s="1" t="e">
        <f>AND(#REF!,"AAAAAE//X0M=")</f>
        <v>#REF!</v>
      </c>
      <c r="BQ17" s="1" t="e">
        <f>AND(#REF!,"AAAAAE//X0Q=")</f>
        <v>#REF!</v>
      </c>
      <c r="BR17" s="1" t="e">
        <f>AND(#REF!,"AAAAAE//X0U=")</f>
        <v>#REF!</v>
      </c>
      <c r="BS17" s="1" t="e">
        <f>AND(#REF!,"AAAAAE//X0Y=")</f>
        <v>#REF!</v>
      </c>
      <c r="BT17" s="1" t="e">
        <f>AND(#REF!,"AAAAAE//X0c=")</f>
        <v>#REF!</v>
      </c>
      <c r="BU17" s="1" t="e">
        <f>AND(#REF!,"AAAAAE//X0g=")</f>
        <v>#REF!</v>
      </c>
      <c r="BV17" s="1" t="e">
        <f>AND(#REF!,"AAAAAE//X0k=")</f>
        <v>#REF!</v>
      </c>
      <c r="BW17" s="1" t="e">
        <f>AND(#REF!,"AAAAAE//X0o=")</f>
        <v>#REF!</v>
      </c>
      <c r="BX17" s="1" t="e">
        <f>AND(#REF!,"AAAAAE//X0s=")</f>
        <v>#REF!</v>
      </c>
      <c r="BY17" s="1" t="e">
        <f>AND(#REF!,"AAAAAE//X0w=")</f>
        <v>#REF!</v>
      </c>
      <c r="BZ17" s="1" t="e">
        <f>AND(#REF!,"AAAAAE//X00=")</f>
        <v>#REF!</v>
      </c>
      <c r="CA17" s="1" t="e">
        <f>IF(#REF!,"AAAAAE//X04=",0)</f>
        <v>#REF!</v>
      </c>
      <c r="CB17" s="1" t="e">
        <f>AND(#REF!,"AAAAAE//X08=")</f>
        <v>#REF!</v>
      </c>
      <c r="CC17" s="1" t="e">
        <f>AND(#REF!,"AAAAAE//X1A=")</f>
        <v>#REF!</v>
      </c>
      <c r="CD17" s="1" t="e">
        <f>AND(#REF!,"AAAAAE//X1E=")</f>
        <v>#REF!</v>
      </c>
      <c r="CE17" s="1" t="e">
        <f>AND(#REF!,"AAAAAE//X1I=")</f>
        <v>#REF!</v>
      </c>
      <c r="CF17" s="1" t="e">
        <f>AND(#REF!,"AAAAAE//X1M=")</f>
        <v>#REF!</v>
      </c>
      <c r="CG17" s="1" t="e">
        <f>AND(#REF!,"AAAAAE//X1Q=")</f>
        <v>#REF!</v>
      </c>
      <c r="CH17" s="1" t="e">
        <f>AND(#REF!,"AAAAAE//X1U=")</f>
        <v>#REF!</v>
      </c>
      <c r="CI17" s="1" t="e">
        <f>AND(#REF!,"AAAAAE//X1Y=")</f>
        <v>#REF!</v>
      </c>
      <c r="CJ17" s="1" t="e">
        <f>AND(#REF!,"AAAAAE//X1c=")</f>
        <v>#REF!</v>
      </c>
      <c r="CK17" s="1" t="e">
        <f>AND(#REF!,"AAAAAE//X1g=")</f>
        <v>#REF!</v>
      </c>
      <c r="CL17" s="1" t="e">
        <f>AND(#REF!,"AAAAAE//X1k=")</f>
        <v>#REF!</v>
      </c>
      <c r="CM17" s="1" t="e">
        <f>AND(#REF!,"AAAAAE//X1o=")</f>
        <v>#REF!</v>
      </c>
      <c r="CN17" s="1" t="e">
        <f>AND(#REF!,"AAAAAE//X1s=")</f>
        <v>#REF!</v>
      </c>
      <c r="CO17" s="1" t="e">
        <f>AND(#REF!,"AAAAAE//X1w=")</f>
        <v>#REF!</v>
      </c>
      <c r="CP17" s="1" t="e">
        <f>AND(#REF!,"AAAAAE//X10=")</f>
        <v>#REF!</v>
      </c>
      <c r="CQ17" s="1" t="e">
        <f>AND(#REF!,"AAAAAE//X14=")</f>
        <v>#REF!</v>
      </c>
      <c r="CR17" s="1" t="e">
        <f>AND(#REF!,"AAAAAE//X18=")</f>
        <v>#REF!</v>
      </c>
      <c r="CS17" s="1" t="e">
        <f>AND(#REF!,"AAAAAE//X2A=")</f>
        <v>#REF!</v>
      </c>
      <c r="CT17" s="1" t="e">
        <f>AND(#REF!,"AAAAAE//X2E=")</f>
        <v>#REF!</v>
      </c>
      <c r="CU17" s="1" t="e">
        <f>AND(#REF!,"AAAAAE//X2I=")</f>
        <v>#REF!</v>
      </c>
      <c r="CV17" s="1" t="e">
        <f>AND(#REF!,"AAAAAE//X2M=")</f>
        <v>#REF!</v>
      </c>
      <c r="CW17" s="1" t="e">
        <f>AND(#REF!,"AAAAAE//X2Q=")</f>
        <v>#REF!</v>
      </c>
      <c r="CX17" s="1" t="e">
        <f>AND(#REF!,"AAAAAE//X2U=")</f>
        <v>#REF!</v>
      </c>
      <c r="CY17" s="1" t="e">
        <f>AND(#REF!,"AAAAAE//X2Y=")</f>
        <v>#REF!</v>
      </c>
      <c r="CZ17" s="1" t="e">
        <f>AND(#REF!,"AAAAAE//X2c=")</f>
        <v>#REF!</v>
      </c>
      <c r="DA17" s="1" t="e">
        <f>AND(#REF!,"AAAAAE//X2g=")</f>
        <v>#REF!</v>
      </c>
      <c r="DB17" s="1" t="e">
        <f>AND(#REF!,"AAAAAE//X2k=")</f>
        <v>#REF!</v>
      </c>
      <c r="DC17" s="1" t="e">
        <f>AND(#REF!,"AAAAAE//X2o=")</f>
        <v>#REF!</v>
      </c>
      <c r="DD17" s="1" t="e">
        <f>AND(#REF!,"AAAAAE//X2s=")</f>
        <v>#REF!</v>
      </c>
      <c r="DE17" s="1" t="e">
        <f>AND(#REF!,"AAAAAE//X2w=")</f>
        <v>#REF!</v>
      </c>
      <c r="DF17" s="1" t="e">
        <f>AND(#REF!,"AAAAAE//X20=")</f>
        <v>#REF!</v>
      </c>
      <c r="DG17" s="1" t="e">
        <f>AND(#REF!,"AAAAAE//X24=")</f>
        <v>#REF!</v>
      </c>
      <c r="DH17" s="1" t="e">
        <f>AND(#REF!,"AAAAAE//X28=")</f>
        <v>#REF!</v>
      </c>
      <c r="DI17" s="1" t="e">
        <f>AND(#REF!,"AAAAAE//X3A=")</f>
        <v>#REF!</v>
      </c>
      <c r="DJ17" s="1" t="e">
        <f>AND(#REF!,"AAAAAE//X3E=")</f>
        <v>#REF!</v>
      </c>
      <c r="DK17" s="1" t="e">
        <f>AND(#REF!,"AAAAAE//X3I=")</f>
        <v>#REF!</v>
      </c>
      <c r="DL17" s="1" t="e">
        <f>AND(#REF!,"AAAAAE//X3M=")</f>
        <v>#REF!</v>
      </c>
      <c r="DM17" s="1" t="e">
        <f>AND(#REF!,"AAAAAE//X3Q=")</f>
        <v>#REF!</v>
      </c>
      <c r="DN17" s="1" t="e">
        <f>AND(#REF!,"AAAAAE//X3U=")</f>
        <v>#REF!</v>
      </c>
      <c r="DO17" s="1" t="e">
        <f>AND(#REF!,"AAAAAE//X3Y=")</f>
        <v>#REF!</v>
      </c>
      <c r="DP17" s="1" t="e">
        <f>AND(#REF!,"AAAAAE//X3c=")</f>
        <v>#REF!</v>
      </c>
      <c r="DQ17" s="1" t="e">
        <f>AND(#REF!,"AAAAAE//X3g=")</f>
        <v>#REF!</v>
      </c>
      <c r="DR17" s="1" t="e">
        <f>AND(#REF!,"AAAAAE//X3k=")</f>
        <v>#REF!</v>
      </c>
      <c r="DS17" s="1" t="e">
        <f>AND(#REF!,"AAAAAE//X3o=")</f>
        <v>#REF!</v>
      </c>
      <c r="DT17" s="1" t="e">
        <f>AND(#REF!,"AAAAAE//X3s=")</f>
        <v>#REF!</v>
      </c>
      <c r="DU17" s="1" t="e">
        <f>AND(#REF!,"AAAAAE//X3w=")</f>
        <v>#REF!</v>
      </c>
      <c r="DV17" s="1" t="e">
        <f>AND(#REF!,"AAAAAE//X30=")</f>
        <v>#REF!</v>
      </c>
      <c r="DW17" s="1" t="e">
        <f>AND(#REF!,"AAAAAE//X34=")</f>
        <v>#REF!</v>
      </c>
      <c r="DX17" s="1" t="e">
        <f>AND(#REF!,"AAAAAE//X38=")</f>
        <v>#REF!</v>
      </c>
      <c r="DY17" s="1" t="e">
        <f>AND(#REF!,"AAAAAE//X4A=")</f>
        <v>#REF!</v>
      </c>
      <c r="DZ17" s="1" t="e">
        <f>AND(#REF!,"AAAAAE//X4E=")</f>
        <v>#REF!</v>
      </c>
      <c r="EA17" s="1" t="e">
        <f>AND(#REF!,"AAAAAE//X4I=")</f>
        <v>#REF!</v>
      </c>
      <c r="EB17" s="1" t="e">
        <f>AND(#REF!,"AAAAAE//X4M=")</f>
        <v>#REF!</v>
      </c>
      <c r="EC17" s="1" t="e">
        <f>AND(#REF!,"AAAAAE//X4Q=")</f>
        <v>#REF!</v>
      </c>
      <c r="ED17" s="1" t="e">
        <f>AND(#REF!,"AAAAAE//X4U=")</f>
        <v>#REF!</v>
      </c>
      <c r="EE17" s="1" t="e">
        <f>AND(#REF!,"AAAAAE//X4Y=")</f>
        <v>#REF!</v>
      </c>
      <c r="EF17" s="1" t="e">
        <f>AND(#REF!,"AAAAAE//X4c=")</f>
        <v>#REF!</v>
      </c>
      <c r="EG17" s="1" t="e">
        <f>AND(#REF!,"AAAAAE//X4g=")</f>
        <v>#REF!</v>
      </c>
      <c r="EH17" s="1" t="e">
        <f>AND(#REF!,"AAAAAE//X4k=")</f>
        <v>#REF!</v>
      </c>
      <c r="EI17" s="1" t="e">
        <f>AND(#REF!,"AAAAAE//X4o=")</f>
        <v>#REF!</v>
      </c>
      <c r="EJ17" s="1" t="e">
        <f>AND(#REF!,"AAAAAE//X4s=")</f>
        <v>#REF!</v>
      </c>
      <c r="EK17" s="1" t="e">
        <f>AND(#REF!,"AAAAAE//X4w=")</f>
        <v>#REF!</v>
      </c>
      <c r="EL17" s="1" t="e">
        <f>AND(#REF!,"AAAAAE//X40=")</f>
        <v>#REF!</v>
      </c>
      <c r="EM17" s="1" t="e">
        <f>AND(#REF!,"AAAAAE//X44=")</f>
        <v>#REF!</v>
      </c>
      <c r="EN17" s="1" t="e">
        <f>AND(#REF!,"AAAAAE//X48=")</f>
        <v>#REF!</v>
      </c>
      <c r="EO17" s="1" t="e">
        <f>AND(#REF!,"AAAAAE//X5A=")</f>
        <v>#REF!</v>
      </c>
      <c r="EP17" s="1" t="e">
        <f>AND(#REF!,"AAAAAE//X5E=")</f>
        <v>#REF!</v>
      </c>
      <c r="EQ17" s="1" t="e">
        <f>AND(#REF!,"AAAAAE//X5I=")</f>
        <v>#REF!</v>
      </c>
      <c r="ER17" s="1" t="e">
        <f>AND(#REF!,"AAAAAE//X5M=")</f>
        <v>#REF!</v>
      </c>
      <c r="ES17" s="1" t="e">
        <f>AND(#REF!,"AAAAAE//X5Q=")</f>
        <v>#REF!</v>
      </c>
      <c r="ET17" s="1" t="e">
        <f>AND(#REF!,"AAAAAE//X5U=")</f>
        <v>#REF!</v>
      </c>
      <c r="EU17" s="1" t="e">
        <f>AND(#REF!,"AAAAAE//X5Y=")</f>
        <v>#REF!</v>
      </c>
      <c r="EV17" s="1" t="e">
        <f>AND(#REF!,"AAAAAE//X5c=")</f>
        <v>#REF!</v>
      </c>
      <c r="EW17" s="1" t="e">
        <f>AND(#REF!,"AAAAAE//X5g=")</f>
        <v>#REF!</v>
      </c>
      <c r="EX17" s="1" t="e">
        <f>AND(#REF!,"AAAAAE//X5k=")</f>
        <v>#REF!</v>
      </c>
      <c r="EY17" s="1" t="e">
        <f>AND(#REF!,"AAAAAE//X5o=")</f>
        <v>#REF!</v>
      </c>
      <c r="EZ17" s="1" t="e">
        <f>AND(#REF!,"AAAAAE//X5s=")</f>
        <v>#REF!</v>
      </c>
      <c r="FA17" s="1" t="e">
        <f>AND(#REF!,"AAAAAE//X5w=")</f>
        <v>#REF!</v>
      </c>
      <c r="FB17" s="1" t="e">
        <f>AND(#REF!,"AAAAAE//X50=")</f>
        <v>#REF!</v>
      </c>
      <c r="FC17" s="1" t="e">
        <f>AND(#REF!,"AAAAAE//X54=")</f>
        <v>#REF!</v>
      </c>
      <c r="FD17" s="1" t="e">
        <f>AND(#REF!,"AAAAAE//X58=")</f>
        <v>#REF!</v>
      </c>
      <c r="FE17" s="1" t="e">
        <f>AND(#REF!,"AAAAAE//X6A=")</f>
        <v>#REF!</v>
      </c>
      <c r="FF17" s="1" t="e">
        <f>AND(#REF!,"AAAAAE//X6E=")</f>
        <v>#REF!</v>
      </c>
      <c r="FG17" s="1" t="e">
        <f>AND(#REF!,"AAAAAE//X6I=")</f>
        <v>#REF!</v>
      </c>
      <c r="FH17" s="1" t="e">
        <f>AND(#REF!,"AAAAAE//X6M=")</f>
        <v>#REF!</v>
      </c>
      <c r="FI17" s="1" t="e">
        <f>AND(#REF!,"AAAAAE//X6Q=")</f>
        <v>#REF!</v>
      </c>
      <c r="FJ17" s="1" t="e">
        <f>AND(#REF!,"AAAAAE//X6U=")</f>
        <v>#REF!</v>
      </c>
      <c r="FK17" s="1" t="e">
        <f>AND(#REF!,"AAAAAE//X6Y=")</f>
        <v>#REF!</v>
      </c>
      <c r="FL17" s="1" t="e">
        <f>AND(#REF!,"AAAAAE//X6c=")</f>
        <v>#REF!</v>
      </c>
      <c r="FM17" s="1" t="e">
        <f>AND(#REF!,"AAAAAE//X6g=")</f>
        <v>#REF!</v>
      </c>
      <c r="FN17" s="1" t="e">
        <f>AND(#REF!,"AAAAAE//X6k=")</f>
        <v>#REF!</v>
      </c>
      <c r="FO17" s="1" t="e">
        <f>AND(#REF!,"AAAAAE//X6o=")</f>
        <v>#REF!</v>
      </c>
      <c r="FP17" s="1" t="e">
        <f>AND(#REF!,"AAAAAE//X6s=")</f>
        <v>#REF!</v>
      </c>
      <c r="FQ17" s="1" t="e">
        <f>AND(#REF!,"AAAAAE//X6w=")</f>
        <v>#REF!</v>
      </c>
      <c r="FR17" s="1" t="e">
        <f>AND(#REF!,"AAAAAE//X60=")</f>
        <v>#REF!</v>
      </c>
      <c r="FS17" s="1" t="e">
        <f>AND(#REF!,"AAAAAE//X64=")</f>
        <v>#REF!</v>
      </c>
      <c r="FT17" s="1" t="e">
        <f>AND(#REF!,"AAAAAE//X68=")</f>
        <v>#REF!</v>
      </c>
      <c r="FU17" s="1" t="e">
        <f>AND(#REF!,"AAAAAE//X7A=")</f>
        <v>#REF!</v>
      </c>
      <c r="FV17" s="1" t="e">
        <f>AND(#REF!,"AAAAAE//X7E=")</f>
        <v>#REF!</v>
      </c>
      <c r="FW17" s="1" t="e">
        <f>AND(#REF!,"AAAAAE//X7I=")</f>
        <v>#REF!</v>
      </c>
      <c r="FX17" s="1" t="e">
        <f>AND(#REF!,"AAAAAE//X7M=")</f>
        <v>#REF!</v>
      </c>
      <c r="FY17" s="1" t="e">
        <f>AND(#REF!,"AAAAAE//X7Q=")</f>
        <v>#REF!</v>
      </c>
      <c r="FZ17" s="1" t="e">
        <f>IF(#REF!,"AAAAAE//X7U=",0)</f>
        <v>#REF!</v>
      </c>
      <c r="GA17" s="1" t="e">
        <f>AND(#REF!,"AAAAAE//X7Y=")</f>
        <v>#REF!</v>
      </c>
      <c r="GB17" s="1" t="e">
        <f>AND(#REF!,"AAAAAE//X7c=")</f>
        <v>#REF!</v>
      </c>
      <c r="GC17" s="1" t="e">
        <f>AND(#REF!,"AAAAAE//X7g=")</f>
        <v>#REF!</v>
      </c>
      <c r="GD17" s="1" t="e">
        <f>AND(#REF!,"AAAAAE//X7k=")</f>
        <v>#REF!</v>
      </c>
      <c r="GE17" s="1" t="e">
        <f>AND(#REF!,"AAAAAE//X7o=")</f>
        <v>#REF!</v>
      </c>
      <c r="GF17" s="1" t="e">
        <f>AND(#REF!,"AAAAAE//X7s=")</f>
        <v>#REF!</v>
      </c>
      <c r="GG17" s="1" t="e">
        <f>AND(#REF!,"AAAAAE//X7w=")</f>
        <v>#REF!</v>
      </c>
      <c r="GH17" s="1" t="e">
        <f>AND(#REF!,"AAAAAE//X70=")</f>
        <v>#REF!</v>
      </c>
      <c r="GI17" s="1" t="e">
        <f>AND(#REF!,"AAAAAE//X74=")</f>
        <v>#REF!</v>
      </c>
      <c r="GJ17" s="1" t="e">
        <f>AND(#REF!,"AAAAAE//X78=")</f>
        <v>#REF!</v>
      </c>
      <c r="GK17" s="1" t="e">
        <f>AND(#REF!,"AAAAAE//X8A=")</f>
        <v>#REF!</v>
      </c>
      <c r="GL17" s="1" t="e">
        <f>AND(#REF!,"AAAAAE//X8E=")</f>
        <v>#REF!</v>
      </c>
      <c r="GM17" s="1" t="e">
        <f>AND(#REF!,"AAAAAE//X8I=")</f>
        <v>#REF!</v>
      </c>
      <c r="GN17" s="1" t="e">
        <f>AND(#REF!,"AAAAAE//X8M=")</f>
        <v>#REF!</v>
      </c>
      <c r="GO17" s="1" t="e">
        <f>AND(#REF!,"AAAAAE//X8Q=")</f>
        <v>#REF!</v>
      </c>
      <c r="GP17" s="1" t="e">
        <f>AND(#REF!,"AAAAAE//X8U=")</f>
        <v>#REF!</v>
      </c>
      <c r="GQ17" s="1" t="e">
        <f>AND(#REF!,"AAAAAE//X8Y=")</f>
        <v>#REF!</v>
      </c>
      <c r="GR17" s="1" t="e">
        <f>AND(#REF!,"AAAAAE//X8c=")</f>
        <v>#REF!</v>
      </c>
      <c r="GS17" s="1" t="e">
        <f>AND(#REF!,"AAAAAE//X8g=")</f>
        <v>#REF!</v>
      </c>
      <c r="GT17" s="1" t="e">
        <f>AND(#REF!,"AAAAAE//X8k=")</f>
        <v>#REF!</v>
      </c>
      <c r="GU17" s="1" t="e">
        <f>AND(#REF!,"AAAAAE//X8o=")</f>
        <v>#REF!</v>
      </c>
      <c r="GV17" s="1" t="e">
        <f>AND(#REF!,"AAAAAE//X8s=")</f>
        <v>#REF!</v>
      </c>
      <c r="GW17" s="1" t="e">
        <f>AND(#REF!,"AAAAAE//X8w=")</f>
        <v>#REF!</v>
      </c>
      <c r="GX17" s="1" t="e">
        <f>AND(#REF!,"AAAAAE//X80=")</f>
        <v>#REF!</v>
      </c>
      <c r="GY17" s="1" t="e">
        <f>AND(#REF!,"AAAAAE//X84=")</f>
        <v>#REF!</v>
      </c>
      <c r="GZ17" s="1" t="e">
        <f>AND(#REF!,"AAAAAE//X88=")</f>
        <v>#REF!</v>
      </c>
      <c r="HA17" s="1" t="e">
        <f>AND(#REF!,"AAAAAE//X9A=")</f>
        <v>#REF!</v>
      </c>
      <c r="HB17" s="1" t="e">
        <f>AND(#REF!,"AAAAAE//X9E=")</f>
        <v>#REF!</v>
      </c>
      <c r="HC17" s="1" t="e">
        <f>AND(#REF!,"AAAAAE//X9I=")</f>
        <v>#REF!</v>
      </c>
      <c r="HD17" s="1" t="e">
        <f>AND(#REF!,"AAAAAE//X9M=")</f>
        <v>#REF!</v>
      </c>
      <c r="HE17" s="1" t="e">
        <f>AND(#REF!,"AAAAAE//X9Q=")</f>
        <v>#REF!</v>
      </c>
      <c r="HF17" s="1" t="e">
        <f>AND(#REF!,"AAAAAE//X9U=")</f>
        <v>#REF!</v>
      </c>
      <c r="HG17" s="1" t="e">
        <f>AND(#REF!,"AAAAAE//X9Y=")</f>
        <v>#REF!</v>
      </c>
      <c r="HH17" s="1" t="e">
        <f>AND(#REF!,"AAAAAE//X9c=")</f>
        <v>#REF!</v>
      </c>
      <c r="HI17" s="1" t="e">
        <f>AND(#REF!,"AAAAAE//X9g=")</f>
        <v>#REF!</v>
      </c>
      <c r="HJ17" s="1" t="e">
        <f>AND(#REF!,"AAAAAE//X9k=")</f>
        <v>#REF!</v>
      </c>
      <c r="HK17" s="1" t="e">
        <f>AND(#REF!,"AAAAAE//X9o=")</f>
        <v>#REF!</v>
      </c>
      <c r="HL17" s="1" t="e">
        <f>AND(#REF!,"AAAAAE//X9s=")</f>
        <v>#REF!</v>
      </c>
      <c r="HM17" s="1" t="e">
        <f>AND(#REF!,"AAAAAE//X9w=")</f>
        <v>#REF!</v>
      </c>
      <c r="HN17" s="1" t="e">
        <f>AND(#REF!,"AAAAAE//X90=")</f>
        <v>#REF!</v>
      </c>
      <c r="HO17" s="1" t="e">
        <f>AND(#REF!,"AAAAAE//X94=")</f>
        <v>#REF!</v>
      </c>
      <c r="HP17" s="1" t="e">
        <f>AND(#REF!,"AAAAAE//X98=")</f>
        <v>#REF!</v>
      </c>
      <c r="HQ17" s="1" t="e">
        <f>AND(#REF!,"AAAAAE//X+A=")</f>
        <v>#REF!</v>
      </c>
      <c r="HR17" s="1" t="e">
        <f>AND(#REF!,"AAAAAE//X+E=")</f>
        <v>#REF!</v>
      </c>
      <c r="HS17" s="1" t="e">
        <f>AND(#REF!,"AAAAAE//X+I=")</f>
        <v>#REF!</v>
      </c>
      <c r="HT17" s="1" t="e">
        <f>AND(#REF!,"AAAAAE//X+M=")</f>
        <v>#REF!</v>
      </c>
      <c r="HU17" s="1" t="e">
        <f>AND(#REF!,"AAAAAE//X+Q=")</f>
        <v>#REF!</v>
      </c>
      <c r="HV17" s="1" t="e">
        <f>AND(#REF!,"AAAAAE//X+U=")</f>
        <v>#REF!</v>
      </c>
      <c r="HW17" s="1" t="e">
        <f>AND(#REF!,"AAAAAE//X+Y=")</f>
        <v>#REF!</v>
      </c>
      <c r="HX17" s="1" t="e">
        <f>AND(#REF!,"AAAAAE//X+c=")</f>
        <v>#REF!</v>
      </c>
      <c r="HY17" s="1" t="e">
        <f>AND(#REF!,"AAAAAE//X+g=")</f>
        <v>#REF!</v>
      </c>
      <c r="HZ17" s="1" t="e">
        <f>AND(#REF!,"AAAAAE//X+k=")</f>
        <v>#REF!</v>
      </c>
      <c r="IA17" s="1" t="e">
        <f>AND(#REF!,"AAAAAE//X+o=")</f>
        <v>#REF!</v>
      </c>
      <c r="IB17" s="1" t="e">
        <f>AND(#REF!,"AAAAAE//X+s=")</f>
        <v>#REF!</v>
      </c>
      <c r="IC17" s="1" t="e">
        <f>AND(#REF!,"AAAAAE//X+w=")</f>
        <v>#REF!</v>
      </c>
      <c r="ID17" s="1" t="e">
        <f>AND(#REF!,"AAAAAE//X+0=")</f>
        <v>#REF!</v>
      </c>
      <c r="IE17" s="1" t="e">
        <f>AND(#REF!,"AAAAAE//X+4=")</f>
        <v>#REF!</v>
      </c>
      <c r="IF17" s="1" t="e">
        <f>AND(#REF!,"AAAAAE//X+8=")</f>
        <v>#REF!</v>
      </c>
      <c r="IG17" s="1" t="e">
        <f>AND(#REF!,"AAAAAE//X/A=")</f>
        <v>#REF!</v>
      </c>
      <c r="IH17" s="1" t="e">
        <f>AND(#REF!,"AAAAAE//X/E=")</f>
        <v>#REF!</v>
      </c>
      <c r="II17" s="1" t="e">
        <f>AND(#REF!,"AAAAAE//X/I=")</f>
        <v>#REF!</v>
      </c>
      <c r="IJ17" s="1" t="e">
        <f>AND(#REF!,"AAAAAE//X/M=")</f>
        <v>#REF!</v>
      </c>
      <c r="IK17" s="1" t="e">
        <f>AND(#REF!,"AAAAAE//X/Q=")</f>
        <v>#REF!</v>
      </c>
      <c r="IL17" s="1" t="e">
        <f>AND(#REF!,"AAAAAE//X/U=")</f>
        <v>#REF!</v>
      </c>
      <c r="IM17" s="1" t="e">
        <f>AND(#REF!,"AAAAAE//X/Y=")</f>
        <v>#REF!</v>
      </c>
      <c r="IN17" s="1" t="e">
        <f>AND(#REF!,"AAAAAE//X/c=")</f>
        <v>#REF!</v>
      </c>
      <c r="IO17" s="1" t="e">
        <f>AND(#REF!,"AAAAAE//X/g=")</f>
        <v>#REF!</v>
      </c>
      <c r="IP17" s="1" t="e">
        <f>AND(#REF!,"AAAAAE//X/k=")</f>
        <v>#REF!</v>
      </c>
      <c r="IQ17" s="1" t="e">
        <f>AND(#REF!,"AAAAAE//X/o=")</f>
        <v>#REF!</v>
      </c>
      <c r="IR17" s="1" t="e">
        <f>AND(#REF!,"AAAAAE//X/s=")</f>
        <v>#REF!</v>
      </c>
      <c r="IS17" s="1" t="e">
        <f>AND(#REF!,"AAAAAE//X/w=")</f>
        <v>#REF!</v>
      </c>
      <c r="IT17" s="1" t="e">
        <f>AND(#REF!,"AAAAAE//X/0=")</f>
        <v>#REF!</v>
      </c>
      <c r="IU17" s="1" t="e">
        <f>AND(#REF!,"AAAAAE//X/4=")</f>
        <v>#REF!</v>
      </c>
      <c r="IV17" s="1" t="e">
        <f>AND(#REF!,"AAAAAE//X/8=")</f>
        <v>#REF!</v>
      </c>
    </row>
    <row r="18" spans="1:256" ht="15" customHeight="1" x14ac:dyDescent="0.2">
      <c r="A18" s="1" t="e">
        <f>AND(#REF!,"AAAAAHb/ugA=")</f>
        <v>#REF!</v>
      </c>
      <c r="B18" s="1" t="e">
        <f>AND(#REF!,"AAAAAHb/ugE=")</f>
        <v>#REF!</v>
      </c>
      <c r="C18" s="1" t="e">
        <f>AND(#REF!,"AAAAAHb/ugI=")</f>
        <v>#REF!</v>
      </c>
      <c r="D18" s="1" t="e">
        <f>AND(#REF!,"AAAAAHb/ugM=")</f>
        <v>#REF!</v>
      </c>
      <c r="E18" s="1" t="e">
        <f>AND(#REF!,"AAAAAHb/ugQ=")</f>
        <v>#REF!</v>
      </c>
      <c r="F18" s="1" t="e">
        <f>AND(#REF!,"AAAAAHb/ugU=")</f>
        <v>#REF!</v>
      </c>
      <c r="G18" s="1" t="e">
        <f>AND(#REF!,"AAAAAHb/ugY=")</f>
        <v>#REF!</v>
      </c>
      <c r="H18" s="1" t="e">
        <f>AND(#REF!,"AAAAAHb/ugc=")</f>
        <v>#REF!</v>
      </c>
      <c r="I18" s="1" t="e">
        <f>AND(#REF!,"AAAAAHb/ugg=")</f>
        <v>#REF!</v>
      </c>
      <c r="J18" s="1" t="e">
        <f>AND(#REF!,"AAAAAHb/ugk=")</f>
        <v>#REF!</v>
      </c>
      <c r="K18" s="1" t="e">
        <f>AND(#REF!,"AAAAAHb/ugo=")</f>
        <v>#REF!</v>
      </c>
      <c r="L18" s="1" t="e">
        <f>AND(#REF!,"AAAAAHb/ugs=")</f>
        <v>#REF!</v>
      </c>
      <c r="M18" s="1" t="e">
        <f>AND(#REF!,"AAAAAHb/ugw=")</f>
        <v>#REF!</v>
      </c>
      <c r="N18" s="1" t="e">
        <f>AND(#REF!,"AAAAAHb/ug0=")</f>
        <v>#REF!</v>
      </c>
      <c r="O18" s="1" t="e">
        <f>AND(#REF!,"AAAAAHb/ug4=")</f>
        <v>#REF!</v>
      </c>
      <c r="P18" s="1" t="e">
        <f>AND(#REF!,"AAAAAHb/ug8=")</f>
        <v>#REF!</v>
      </c>
      <c r="Q18" s="1" t="e">
        <f>AND(#REF!,"AAAAAHb/uhA=")</f>
        <v>#REF!</v>
      </c>
      <c r="R18" s="1" t="e">
        <f>AND(#REF!,"AAAAAHb/uhE=")</f>
        <v>#REF!</v>
      </c>
      <c r="S18" s="1" t="e">
        <f>AND(#REF!,"AAAAAHb/uhI=")</f>
        <v>#REF!</v>
      </c>
      <c r="T18" s="1" t="e">
        <f>AND(#REF!,"AAAAAHb/uhM=")</f>
        <v>#REF!</v>
      </c>
      <c r="U18" s="1" t="e">
        <f>AND(#REF!,"AAAAAHb/uhQ=")</f>
        <v>#REF!</v>
      </c>
      <c r="V18" s="1" t="e">
        <f>AND(#REF!,"AAAAAHb/uhU=")</f>
        <v>#REF!</v>
      </c>
      <c r="W18" s="1" t="e">
        <f>AND(#REF!,"AAAAAHb/uhY=")</f>
        <v>#REF!</v>
      </c>
      <c r="X18" s="1" t="e">
        <f>AND(#REF!,"AAAAAHb/uhc=")</f>
        <v>#REF!</v>
      </c>
      <c r="Y18" s="1" t="e">
        <f>AND(#REF!,"AAAAAHb/uhg=")</f>
        <v>#REF!</v>
      </c>
      <c r="Z18" s="1" t="e">
        <f>AND(#REF!,"AAAAAHb/uhk=")</f>
        <v>#REF!</v>
      </c>
      <c r="AA18" s="1" t="e">
        <f>AND(#REF!,"AAAAAHb/uho=")</f>
        <v>#REF!</v>
      </c>
      <c r="AB18" s="1" t="e">
        <f>AND(#REF!,"AAAAAHb/uhs=")</f>
        <v>#REF!</v>
      </c>
      <c r="AC18" s="1" t="e">
        <f>IF(#REF!,"AAAAAHb/uhw=",0)</f>
        <v>#REF!</v>
      </c>
      <c r="AD18" s="1" t="e">
        <f>AND(#REF!,"AAAAAHb/uh0=")</f>
        <v>#REF!</v>
      </c>
      <c r="AE18" s="1" t="e">
        <f>AND(#REF!,"AAAAAHb/uh4=")</f>
        <v>#REF!</v>
      </c>
      <c r="AF18" s="1" t="e">
        <f>AND(#REF!,"AAAAAHb/uh8=")</f>
        <v>#REF!</v>
      </c>
      <c r="AG18" s="1" t="e">
        <f>AND(#REF!,"AAAAAHb/uiA=")</f>
        <v>#REF!</v>
      </c>
      <c r="AH18" s="1" t="e">
        <f>AND(#REF!,"AAAAAHb/uiE=")</f>
        <v>#REF!</v>
      </c>
      <c r="AI18" s="1" t="e">
        <f>AND(#REF!,"AAAAAHb/uiI=")</f>
        <v>#REF!</v>
      </c>
      <c r="AJ18" s="1" t="e">
        <f>AND(#REF!,"AAAAAHb/uiM=")</f>
        <v>#REF!</v>
      </c>
      <c r="AK18" s="1" t="e">
        <f>AND(#REF!,"AAAAAHb/uiQ=")</f>
        <v>#REF!</v>
      </c>
      <c r="AL18" s="1" t="e">
        <f>AND(#REF!,"AAAAAHb/uiU=")</f>
        <v>#REF!</v>
      </c>
      <c r="AM18" s="1" t="e">
        <f>AND(#REF!,"AAAAAHb/uiY=")</f>
        <v>#REF!</v>
      </c>
      <c r="AN18" s="1" t="e">
        <f>AND(#REF!,"AAAAAHb/uic=")</f>
        <v>#REF!</v>
      </c>
      <c r="AO18" s="1" t="e">
        <f>AND(#REF!,"AAAAAHb/uig=")</f>
        <v>#REF!</v>
      </c>
      <c r="AP18" s="1" t="e">
        <f>AND(#REF!,"AAAAAHb/uik=")</f>
        <v>#REF!</v>
      </c>
      <c r="AQ18" s="1" t="e">
        <f>AND(#REF!,"AAAAAHb/uio=")</f>
        <v>#REF!</v>
      </c>
      <c r="AR18" s="1" t="e">
        <f>AND(#REF!,"AAAAAHb/uis=")</f>
        <v>#REF!</v>
      </c>
      <c r="AS18" s="1" t="e">
        <f>AND(#REF!,"AAAAAHb/uiw=")</f>
        <v>#REF!</v>
      </c>
      <c r="AT18" s="1" t="e">
        <f>AND(#REF!,"AAAAAHb/ui0=")</f>
        <v>#REF!</v>
      </c>
      <c r="AU18" s="1" t="e">
        <f>AND(#REF!,"AAAAAHb/ui4=")</f>
        <v>#REF!</v>
      </c>
      <c r="AV18" s="1" t="e">
        <f>AND(#REF!,"AAAAAHb/ui8=")</f>
        <v>#REF!</v>
      </c>
      <c r="AW18" s="1" t="e">
        <f>AND(#REF!,"AAAAAHb/ujA=")</f>
        <v>#REF!</v>
      </c>
      <c r="AX18" s="1" t="e">
        <f>AND(#REF!,"AAAAAHb/ujE=")</f>
        <v>#REF!</v>
      </c>
      <c r="AY18" s="1" t="e">
        <f>AND(#REF!,"AAAAAHb/ujI=")</f>
        <v>#REF!</v>
      </c>
      <c r="AZ18" s="1" t="e">
        <f>AND(#REF!,"AAAAAHb/ujM=")</f>
        <v>#REF!</v>
      </c>
      <c r="BA18" s="1" t="e">
        <f>AND(#REF!,"AAAAAHb/ujQ=")</f>
        <v>#REF!</v>
      </c>
      <c r="BB18" s="1" t="e">
        <f>AND(#REF!,"AAAAAHb/ujU=")</f>
        <v>#REF!</v>
      </c>
      <c r="BC18" s="1" t="e">
        <f>AND(#REF!,"AAAAAHb/ujY=")</f>
        <v>#REF!</v>
      </c>
      <c r="BD18" s="1" t="e">
        <f>AND(#REF!,"AAAAAHb/ujc=")</f>
        <v>#REF!</v>
      </c>
      <c r="BE18" s="1" t="e">
        <f>AND(#REF!,"AAAAAHb/ujg=")</f>
        <v>#REF!</v>
      </c>
      <c r="BF18" s="1" t="e">
        <f>AND(#REF!,"AAAAAHb/ujk=")</f>
        <v>#REF!</v>
      </c>
      <c r="BG18" s="1" t="e">
        <f>AND(#REF!,"AAAAAHb/ujo=")</f>
        <v>#REF!</v>
      </c>
      <c r="BH18" s="1" t="e">
        <f>AND(#REF!,"AAAAAHb/ujs=")</f>
        <v>#REF!</v>
      </c>
      <c r="BI18" s="1" t="e">
        <f>AND(#REF!,"AAAAAHb/ujw=")</f>
        <v>#REF!</v>
      </c>
      <c r="BJ18" s="1" t="e">
        <f>AND(#REF!,"AAAAAHb/uj0=")</f>
        <v>#REF!</v>
      </c>
      <c r="BK18" s="1" t="e">
        <f>AND(#REF!,"AAAAAHb/uj4=")</f>
        <v>#REF!</v>
      </c>
      <c r="BL18" s="1" t="e">
        <f>AND(#REF!,"AAAAAHb/uj8=")</f>
        <v>#REF!</v>
      </c>
      <c r="BM18" s="1" t="e">
        <f>AND(#REF!,"AAAAAHb/ukA=")</f>
        <v>#REF!</v>
      </c>
      <c r="BN18" s="1" t="e">
        <f>AND(#REF!,"AAAAAHb/ukE=")</f>
        <v>#REF!</v>
      </c>
      <c r="BO18" s="1" t="e">
        <f>AND(#REF!,"AAAAAHb/ukI=")</f>
        <v>#REF!</v>
      </c>
      <c r="BP18" s="1" t="e">
        <f>AND(#REF!,"AAAAAHb/ukM=")</f>
        <v>#REF!</v>
      </c>
      <c r="BQ18" s="1" t="e">
        <f>AND(#REF!,"AAAAAHb/ukQ=")</f>
        <v>#REF!</v>
      </c>
      <c r="BR18" s="1" t="e">
        <f>AND(#REF!,"AAAAAHb/ukU=")</f>
        <v>#REF!</v>
      </c>
      <c r="BS18" s="1" t="e">
        <f>AND(#REF!,"AAAAAHb/ukY=")</f>
        <v>#REF!</v>
      </c>
      <c r="BT18" s="1" t="e">
        <f>AND(#REF!,"AAAAAHb/ukc=")</f>
        <v>#REF!</v>
      </c>
      <c r="BU18" s="1" t="e">
        <f>AND(#REF!,"AAAAAHb/ukg=")</f>
        <v>#REF!</v>
      </c>
      <c r="BV18" s="1" t="e">
        <f>AND(#REF!,"AAAAAHb/ukk=")</f>
        <v>#REF!</v>
      </c>
      <c r="BW18" s="1" t="e">
        <f>AND(#REF!,"AAAAAHb/uko=")</f>
        <v>#REF!</v>
      </c>
      <c r="BX18" s="1" t="e">
        <f>AND(#REF!,"AAAAAHb/uks=")</f>
        <v>#REF!</v>
      </c>
      <c r="BY18" s="1" t="e">
        <f>AND(#REF!,"AAAAAHb/ukw=")</f>
        <v>#REF!</v>
      </c>
      <c r="BZ18" s="1" t="e">
        <f>AND(#REF!,"AAAAAHb/uk0=")</f>
        <v>#REF!</v>
      </c>
      <c r="CA18" s="1" t="e">
        <f>AND(#REF!,"AAAAAHb/uk4=")</f>
        <v>#REF!</v>
      </c>
      <c r="CB18" s="1" t="e">
        <f>AND(#REF!,"AAAAAHb/uk8=")</f>
        <v>#REF!</v>
      </c>
      <c r="CC18" s="1" t="e">
        <f>AND(#REF!,"AAAAAHb/ulA=")</f>
        <v>#REF!</v>
      </c>
      <c r="CD18" s="1" t="e">
        <f>AND(#REF!,"AAAAAHb/ulE=")</f>
        <v>#REF!</v>
      </c>
      <c r="CE18" s="1" t="e">
        <f>AND(#REF!,"AAAAAHb/ulI=")</f>
        <v>#REF!</v>
      </c>
      <c r="CF18" s="1" t="e">
        <f>AND(#REF!,"AAAAAHb/ulM=")</f>
        <v>#REF!</v>
      </c>
      <c r="CG18" s="1" t="e">
        <f>AND(#REF!,"AAAAAHb/ulQ=")</f>
        <v>#REF!</v>
      </c>
      <c r="CH18" s="1" t="e">
        <f>AND(#REF!,"AAAAAHb/ulU=")</f>
        <v>#REF!</v>
      </c>
      <c r="CI18" s="1" t="e">
        <f>AND(#REF!,"AAAAAHb/ulY=")</f>
        <v>#REF!</v>
      </c>
      <c r="CJ18" s="1" t="e">
        <f>AND(#REF!,"AAAAAHb/ulc=")</f>
        <v>#REF!</v>
      </c>
      <c r="CK18" s="1" t="e">
        <f>AND(#REF!,"AAAAAHb/ulg=")</f>
        <v>#REF!</v>
      </c>
      <c r="CL18" s="1" t="e">
        <f>AND(#REF!,"AAAAAHb/ulk=")</f>
        <v>#REF!</v>
      </c>
      <c r="CM18" s="1" t="e">
        <f>AND(#REF!,"AAAAAHb/ulo=")</f>
        <v>#REF!</v>
      </c>
      <c r="CN18" s="1" t="e">
        <f>AND(#REF!,"AAAAAHb/uls=")</f>
        <v>#REF!</v>
      </c>
      <c r="CO18" s="1" t="e">
        <f>AND(#REF!,"AAAAAHb/ulw=")</f>
        <v>#REF!</v>
      </c>
      <c r="CP18" s="1" t="e">
        <f>AND(#REF!,"AAAAAHb/ul0=")</f>
        <v>#REF!</v>
      </c>
      <c r="CQ18" s="1" t="e">
        <f>AND(#REF!,"AAAAAHb/ul4=")</f>
        <v>#REF!</v>
      </c>
      <c r="CR18" s="1" t="e">
        <f>AND(#REF!,"AAAAAHb/ul8=")</f>
        <v>#REF!</v>
      </c>
      <c r="CS18" s="1" t="e">
        <f>AND(#REF!,"AAAAAHb/umA=")</f>
        <v>#REF!</v>
      </c>
      <c r="CT18" s="1" t="e">
        <f>AND(#REF!,"AAAAAHb/umE=")</f>
        <v>#REF!</v>
      </c>
      <c r="CU18" s="1" t="e">
        <f>AND(#REF!,"AAAAAHb/umI=")</f>
        <v>#REF!</v>
      </c>
      <c r="CV18" s="1" t="e">
        <f>AND(#REF!,"AAAAAHb/umM=")</f>
        <v>#REF!</v>
      </c>
      <c r="CW18" s="1" t="e">
        <f>AND(#REF!,"AAAAAHb/umQ=")</f>
        <v>#REF!</v>
      </c>
      <c r="CX18" s="1" t="e">
        <f>AND(#REF!,"AAAAAHb/umU=")</f>
        <v>#REF!</v>
      </c>
      <c r="CY18" s="1" t="e">
        <f>AND(#REF!,"AAAAAHb/umY=")</f>
        <v>#REF!</v>
      </c>
      <c r="CZ18" s="1" t="e">
        <f>AND(#REF!,"AAAAAHb/umc=")</f>
        <v>#REF!</v>
      </c>
      <c r="DA18" s="1" t="e">
        <f>AND(#REF!,"AAAAAHb/umg=")</f>
        <v>#REF!</v>
      </c>
      <c r="DB18" s="1" t="e">
        <f>AND(#REF!,"AAAAAHb/umk=")</f>
        <v>#REF!</v>
      </c>
      <c r="DC18" s="1" t="e">
        <f>AND(#REF!,"AAAAAHb/umo=")</f>
        <v>#REF!</v>
      </c>
      <c r="DD18" s="1" t="e">
        <f>AND(#REF!,"AAAAAHb/ums=")</f>
        <v>#REF!</v>
      </c>
      <c r="DE18" s="1" t="e">
        <f>AND(#REF!,"AAAAAHb/umw=")</f>
        <v>#REF!</v>
      </c>
      <c r="DF18" s="1" t="e">
        <f>AND(#REF!,"AAAAAHb/um0=")</f>
        <v>#REF!</v>
      </c>
      <c r="DG18" s="1" t="e">
        <f>AND(#REF!,"AAAAAHb/um4=")</f>
        <v>#REF!</v>
      </c>
      <c r="DH18" s="1" t="e">
        <f>AND(#REF!,"AAAAAHb/um8=")</f>
        <v>#REF!</v>
      </c>
      <c r="DI18" s="1" t="e">
        <f>AND(#REF!,"AAAAAHb/unA=")</f>
        <v>#REF!</v>
      </c>
      <c r="DJ18" s="1" t="e">
        <f>AND(#REF!,"AAAAAHb/unE=")</f>
        <v>#REF!</v>
      </c>
      <c r="DK18" s="1" t="e">
        <f>AND(#REF!,"AAAAAHb/unI=")</f>
        <v>#REF!</v>
      </c>
      <c r="DL18" s="1" t="e">
        <f>AND(#REF!,"AAAAAHb/unM=")</f>
        <v>#REF!</v>
      </c>
      <c r="DM18" s="1" t="e">
        <f>AND(#REF!,"AAAAAHb/unQ=")</f>
        <v>#REF!</v>
      </c>
      <c r="DN18" s="1" t="e">
        <f>AND(#REF!,"AAAAAHb/unU=")</f>
        <v>#REF!</v>
      </c>
      <c r="DO18" s="1" t="e">
        <f>AND(#REF!,"AAAAAHb/unY=")</f>
        <v>#REF!</v>
      </c>
      <c r="DP18" s="1" t="e">
        <f>AND(#REF!,"AAAAAHb/unc=")</f>
        <v>#REF!</v>
      </c>
      <c r="DQ18" s="1" t="e">
        <f>AND(#REF!,"AAAAAHb/ung=")</f>
        <v>#REF!</v>
      </c>
      <c r="DR18" s="1" t="e">
        <f>AND(#REF!,"AAAAAHb/unk=")</f>
        <v>#REF!</v>
      </c>
      <c r="DS18" s="1" t="e">
        <f>AND(#REF!,"AAAAAHb/uno=")</f>
        <v>#REF!</v>
      </c>
      <c r="DT18" s="1" t="e">
        <f>AND(#REF!,"AAAAAHb/uns=")</f>
        <v>#REF!</v>
      </c>
      <c r="DU18" s="1" t="e">
        <f>AND(#REF!,"AAAAAHb/unw=")</f>
        <v>#REF!</v>
      </c>
      <c r="DV18" s="1" t="e">
        <f>AND(#REF!,"AAAAAHb/un0=")</f>
        <v>#REF!</v>
      </c>
      <c r="DW18" s="1" t="e">
        <f>AND(#REF!,"AAAAAHb/un4=")</f>
        <v>#REF!</v>
      </c>
      <c r="DX18" s="1" t="e">
        <f>AND(#REF!,"AAAAAHb/un8=")</f>
        <v>#REF!</v>
      </c>
      <c r="DY18" s="1" t="e">
        <f>AND(#REF!,"AAAAAHb/uoA=")</f>
        <v>#REF!</v>
      </c>
      <c r="DZ18" s="1" t="e">
        <f>AND(#REF!,"AAAAAHb/uoE=")</f>
        <v>#REF!</v>
      </c>
      <c r="EA18" s="1" t="e">
        <f>AND(#REF!,"AAAAAHb/uoI=")</f>
        <v>#REF!</v>
      </c>
      <c r="EB18" s="1" t="e">
        <f>IF(#REF!,"AAAAAHb/uoM=",0)</f>
        <v>#REF!</v>
      </c>
      <c r="EC18" s="1" t="e">
        <f>AND(#REF!,"AAAAAHb/uoQ=")</f>
        <v>#REF!</v>
      </c>
      <c r="ED18" s="1" t="e">
        <f>AND(#REF!,"AAAAAHb/uoU=")</f>
        <v>#REF!</v>
      </c>
      <c r="EE18" s="1" t="e">
        <f>AND(#REF!,"AAAAAHb/uoY=")</f>
        <v>#REF!</v>
      </c>
      <c r="EF18" s="1" t="e">
        <f>AND(#REF!,"AAAAAHb/uoc=")</f>
        <v>#REF!</v>
      </c>
      <c r="EG18" s="1" t="e">
        <f>AND(#REF!,"AAAAAHb/uog=")</f>
        <v>#REF!</v>
      </c>
      <c r="EH18" s="1" t="e">
        <f>AND(#REF!,"AAAAAHb/uok=")</f>
        <v>#REF!</v>
      </c>
      <c r="EI18" s="1" t="e">
        <f>AND(#REF!,"AAAAAHb/uoo=")</f>
        <v>#REF!</v>
      </c>
      <c r="EJ18" s="1" t="e">
        <f>AND(#REF!,"AAAAAHb/uos=")</f>
        <v>#REF!</v>
      </c>
      <c r="EK18" s="1" t="e">
        <f>AND(#REF!,"AAAAAHb/uow=")</f>
        <v>#REF!</v>
      </c>
      <c r="EL18" s="1" t="e">
        <f>AND(#REF!,"AAAAAHb/uo0=")</f>
        <v>#REF!</v>
      </c>
      <c r="EM18" s="1" t="e">
        <f>AND(#REF!,"AAAAAHb/uo4=")</f>
        <v>#REF!</v>
      </c>
      <c r="EN18" s="1" t="e">
        <f>AND(#REF!,"AAAAAHb/uo8=")</f>
        <v>#REF!</v>
      </c>
      <c r="EO18" s="1" t="e">
        <f>AND(#REF!,"AAAAAHb/upA=")</f>
        <v>#REF!</v>
      </c>
      <c r="EP18" s="1" t="e">
        <f>AND(#REF!,"AAAAAHb/upE=")</f>
        <v>#REF!</v>
      </c>
      <c r="EQ18" s="1" t="e">
        <f>AND(#REF!,"AAAAAHb/upI=")</f>
        <v>#REF!</v>
      </c>
      <c r="ER18" s="1" t="e">
        <f>AND(#REF!,"AAAAAHb/upM=")</f>
        <v>#REF!</v>
      </c>
      <c r="ES18" s="1" t="e">
        <f>AND(#REF!,"AAAAAHb/upQ=")</f>
        <v>#REF!</v>
      </c>
      <c r="ET18" s="1" t="e">
        <f>AND(#REF!,"AAAAAHb/upU=")</f>
        <v>#REF!</v>
      </c>
      <c r="EU18" s="1" t="e">
        <f>AND(#REF!,"AAAAAHb/upY=")</f>
        <v>#REF!</v>
      </c>
      <c r="EV18" s="1" t="e">
        <f>AND(#REF!,"AAAAAHb/upc=")</f>
        <v>#REF!</v>
      </c>
      <c r="EW18" s="1" t="e">
        <f>AND(#REF!,"AAAAAHb/upg=")</f>
        <v>#REF!</v>
      </c>
      <c r="EX18" s="1" t="e">
        <f>AND(#REF!,"AAAAAHb/upk=")</f>
        <v>#REF!</v>
      </c>
      <c r="EY18" s="1" t="e">
        <f>AND(#REF!,"AAAAAHb/upo=")</f>
        <v>#REF!</v>
      </c>
      <c r="EZ18" s="1" t="e">
        <f>AND(#REF!,"AAAAAHb/ups=")</f>
        <v>#REF!</v>
      </c>
      <c r="FA18" s="1" t="e">
        <f>AND(#REF!,"AAAAAHb/upw=")</f>
        <v>#REF!</v>
      </c>
      <c r="FB18" s="1" t="e">
        <f>AND(#REF!,"AAAAAHb/up0=")</f>
        <v>#REF!</v>
      </c>
      <c r="FC18" s="1" t="e">
        <f>AND(#REF!,"AAAAAHb/up4=")</f>
        <v>#REF!</v>
      </c>
      <c r="FD18" s="1" t="e">
        <f>AND(#REF!,"AAAAAHb/up8=")</f>
        <v>#REF!</v>
      </c>
      <c r="FE18" s="1" t="e">
        <f>AND(#REF!,"AAAAAHb/uqA=")</f>
        <v>#REF!</v>
      </c>
      <c r="FF18" s="1" t="e">
        <f>AND(#REF!,"AAAAAHb/uqE=")</f>
        <v>#REF!</v>
      </c>
      <c r="FG18" s="1" t="e">
        <f>AND(#REF!,"AAAAAHb/uqI=")</f>
        <v>#REF!</v>
      </c>
      <c r="FH18" s="1" t="e">
        <f>AND(#REF!,"AAAAAHb/uqM=")</f>
        <v>#REF!</v>
      </c>
      <c r="FI18" s="1" t="e">
        <f>AND(#REF!,"AAAAAHb/uqQ=")</f>
        <v>#REF!</v>
      </c>
      <c r="FJ18" s="1" t="e">
        <f>AND(#REF!,"AAAAAHb/uqU=")</f>
        <v>#REF!</v>
      </c>
      <c r="FK18" s="1" t="e">
        <f>AND(#REF!,"AAAAAHb/uqY=")</f>
        <v>#REF!</v>
      </c>
      <c r="FL18" s="1" t="e">
        <f>AND(#REF!,"AAAAAHb/uqc=")</f>
        <v>#REF!</v>
      </c>
      <c r="FM18" s="1" t="e">
        <f>AND(#REF!,"AAAAAHb/uqg=")</f>
        <v>#REF!</v>
      </c>
      <c r="FN18" s="1" t="e">
        <f>AND(#REF!,"AAAAAHb/uqk=")</f>
        <v>#REF!</v>
      </c>
      <c r="FO18" s="1" t="e">
        <f>AND(#REF!,"AAAAAHb/uqo=")</f>
        <v>#REF!</v>
      </c>
      <c r="FP18" s="1" t="e">
        <f>AND(#REF!,"AAAAAHb/uqs=")</f>
        <v>#REF!</v>
      </c>
      <c r="FQ18" s="1" t="e">
        <f>AND(#REF!,"AAAAAHb/uqw=")</f>
        <v>#REF!</v>
      </c>
      <c r="FR18" s="1" t="e">
        <f>AND(#REF!,"AAAAAHb/uq0=")</f>
        <v>#REF!</v>
      </c>
      <c r="FS18" s="1" t="e">
        <f>AND(#REF!,"AAAAAHb/uq4=")</f>
        <v>#REF!</v>
      </c>
      <c r="FT18" s="1" t="e">
        <f>AND(#REF!,"AAAAAHb/uq8=")</f>
        <v>#REF!</v>
      </c>
      <c r="FU18" s="1" t="e">
        <f>AND(#REF!,"AAAAAHb/urA=")</f>
        <v>#REF!</v>
      </c>
      <c r="FV18" s="1" t="e">
        <f>AND(#REF!,"AAAAAHb/urE=")</f>
        <v>#REF!</v>
      </c>
      <c r="FW18" s="1" t="e">
        <f>AND(#REF!,"AAAAAHb/urI=")</f>
        <v>#REF!</v>
      </c>
      <c r="FX18" s="1" t="e">
        <f>AND(#REF!,"AAAAAHb/urM=")</f>
        <v>#REF!</v>
      </c>
      <c r="FY18" s="1" t="e">
        <f>AND(#REF!,"AAAAAHb/urQ=")</f>
        <v>#REF!</v>
      </c>
      <c r="FZ18" s="1" t="e">
        <f>AND(#REF!,"AAAAAHb/urU=")</f>
        <v>#REF!</v>
      </c>
      <c r="GA18" s="1" t="e">
        <f>AND(#REF!,"AAAAAHb/urY=")</f>
        <v>#REF!</v>
      </c>
      <c r="GB18" s="1" t="e">
        <f>AND(#REF!,"AAAAAHb/urc=")</f>
        <v>#REF!</v>
      </c>
      <c r="GC18" s="1" t="e">
        <f>AND(#REF!,"AAAAAHb/urg=")</f>
        <v>#REF!</v>
      </c>
      <c r="GD18" s="1" t="e">
        <f>AND(#REF!,"AAAAAHb/urk=")</f>
        <v>#REF!</v>
      </c>
      <c r="GE18" s="1" t="e">
        <f>AND(#REF!,"AAAAAHb/uro=")</f>
        <v>#REF!</v>
      </c>
      <c r="GF18" s="1" t="e">
        <f>AND(#REF!,"AAAAAHb/urs=")</f>
        <v>#REF!</v>
      </c>
      <c r="GG18" s="1" t="e">
        <f>AND(#REF!,"AAAAAHb/urw=")</f>
        <v>#REF!</v>
      </c>
      <c r="GH18" s="1" t="e">
        <f>AND(#REF!,"AAAAAHb/ur0=")</f>
        <v>#REF!</v>
      </c>
      <c r="GI18" s="1" t="e">
        <f>AND(#REF!,"AAAAAHb/ur4=")</f>
        <v>#REF!</v>
      </c>
      <c r="GJ18" s="1" t="e">
        <f>AND(#REF!,"AAAAAHb/ur8=")</f>
        <v>#REF!</v>
      </c>
      <c r="GK18" s="1" t="e">
        <f>AND(#REF!,"AAAAAHb/usA=")</f>
        <v>#REF!</v>
      </c>
      <c r="GL18" s="1" t="e">
        <f>AND(#REF!,"AAAAAHb/usE=")</f>
        <v>#REF!</v>
      </c>
      <c r="GM18" s="1" t="e">
        <f>AND(#REF!,"AAAAAHb/usI=")</f>
        <v>#REF!</v>
      </c>
      <c r="GN18" s="1" t="e">
        <f>AND(#REF!,"AAAAAHb/usM=")</f>
        <v>#REF!</v>
      </c>
      <c r="GO18" s="1" t="e">
        <f>AND(#REF!,"AAAAAHb/usQ=")</f>
        <v>#REF!</v>
      </c>
      <c r="GP18" s="1" t="e">
        <f>AND(#REF!,"AAAAAHb/usU=")</f>
        <v>#REF!</v>
      </c>
      <c r="GQ18" s="1" t="e">
        <f>AND(#REF!,"AAAAAHb/usY=")</f>
        <v>#REF!</v>
      </c>
      <c r="GR18" s="1" t="e">
        <f>AND(#REF!,"AAAAAHb/usc=")</f>
        <v>#REF!</v>
      </c>
      <c r="GS18" s="1" t="e">
        <f>AND(#REF!,"AAAAAHb/usg=")</f>
        <v>#REF!</v>
      </c>
      <c r="GT18" s="1" t="e">
        <f>AND(#REF!,"AAAAAHb/usk=")</f>
        <v>#REF!</v>
      </c>
      <c r="GU18" s="1" t="e">
        <f>AND(#REF!,"AAAAAHb/uso=")</f>
        <v>#REF!</v>
      </c>
      <c r="GV18" s="1" t="e">
        <f>AND(#REF!,"AAAAAHb/uss=")</f>
        <v>#REF!</v>
      </c>
      <c r="GW18" s="1" t="e">
        <f>AND(#REF!,"AAAAAHb/usw=")</f>
        <v>#REF!</v>
      </c>
      <c r="GX18" s="1" t="e">
        <f>AND(#REF!,"AAAAAHb/us0=")</f>
        <v>#REF!</v>
      </c>
      <c r="GY18" s="1" t="e">
        <f>AND(#REF!,"AAAAAHb/us4=")</f>
        <v>#REF!</v>
      </c>
      <c r="GZ18" s="1" t="e">
        <f>AND(#REF!,"AAAAAHb/us8=")</f>
        <v>#REF!</v>
      </c>
      <c r="HA18" s="1" t="e">
        <f>AND(#REF!,"AAAAAHb/utA=")</f>
        <v>#REF!</v>
      </c>
      <c r="HB18" s="1" t="e">
        <f>AND(#REF!,"AAAAAHb/utE=")</f>
        <v>#REF!</v>
      </c>
      <c r="HC18" s="1" t="e">
        <f>AND(#REF!,"AAAAAHb/utI=")</f>
        <v>#REF!</v>
      </c>
      <c r="HD18" s="1" t="e">
        <f>AND(#REF!,"AAAAAHb/utM=")</f>
        <v>#REF!</v>
      </c>
      <c r="HE18" s="1" t="e">
        <f>AND(#REF!,"AAAAAHb/utQ=")</f>
        <v>#REF!</v>
      </c>
      <c r="HF18" s="1" t="e">
        <f>AND(#REF!,"AAAAAHb/utU=")</f>
        <v>#REF!</v>
      </c>
      <c r="HG18" s="1" t="e">
        <f>AND(#REF!,"AAAAAHb/utY=")</f>
        <v>#REF!</v>
      </c>
      <c r="HH18" s="1" t="e">
        <f>AND(#REF!,"AAAAAHb/utc=")</f>
        <v>#REF!</v>
      </c>
      <c r="HI18" s="1" t="e">
        <f>AND(#REF!,"AAAAAHb/utg=")</f>
        <v>#REF!</v>
      </c>
      <c r="HJ18" s="1" t="e">
        <f>AND(#REF!,"AAAAAHb/utk=")</f>
        <v>#REF!</v>
      </c>
      <c r="HK18" s="1" t="e">
        <f>AND(#REF!,"AAAAAHb/uto=")</f>
        <v>#REF!</v>
      </c>
      <c r="HL18" s="1" t="e">
        <f>AND(#REF!,"AAAAAHb/uts=")</f>
        <v>#REF!</v>
      </c>
      <c r="HM18" s="1" t="e">
        <f>AND(#REF!,"AAAAAHb/utw=")</f>
        <v>#REF!</v>
      </c>
      <c r="HN18" s="1" t="e">
        <f>AND(#REF!,"AAAAAHb/ut0=")</f>
        <v>#REF!</v>
      </c>
      <c r="HO18" s="1" t="e">
        <f>AND(#REF!,"AAAAAHb/ut4=")</f>
        <v>#REF!</v>
      </c>
      <c r="HP18" s="1" t="e">
        <f>AND(#REF!,"AAAAAHb/ut8=")</f>
        <v>#REF!</v>
      </c>
      <c r="HQ18" s="1" t="e">
        <f>AND(#REF!,"AAAAAHb/uuA=")</f>
        <v>#REF!</v>
      </c>
      <c r="HR18" s="1" t="e">
        <f>AND(#REF!,"AAAAAHb/uuE=")</f>
        <v>#REF!</v>
      </c>
      <c r="HS18" s="1" t="e">
        <f>AND(#REF!,"AAAAAHb/uuI=")</f>
        <v>#REF!</v>
      </c>
      <c r="HT18" s="1" t="e">
        <f>AND(#REF!,"AAAAAHb/uuM=")</f>
        <v>#REF!</v>
      </c>
      <c r="HU18" s="1" t="e">
        <f>AND(#REF!,"AAAAAHb/uuQ=")</f>
        <v>#REF!</v>
      </c>
      <c r="HV18" s="1" t="e">
        <f>AND(#REF!,"AAAAAHb/uuU=")</f>
        <v>#REF!</v>
      </c>
      <c r="HW18" s="1" t="e">
        <f>AND(#REF!,"AAAAAHb/uuY=")</f>
        <v>#REF!</v>
      </c>
      <c r="HX18" s="1" t="e">
        <f>AND(#REF!,"AAAAAHb/uuc=")</f>
        <v>#REF!</v>
      </c>
      <c r="HY18" s="1" t="e">
        <f>AND(#REF!,"AAAAAHb/uug=")</f>
        <v>#REF!</v>
      </c>
      <c r="HZ18" s="1" t="e">
        <f>AND(#REF!,"AAAAAHb/uuk=")</f>
        <v>#REF!</v>
      </c>
      <c r="IA18" s="1" t="e">
        <f>IF(#REF!,"AAAAAHb/uuo=",0)</f>
        <v>#REF!</v>
      </c>
      <c r="IB18" s="1" t="e">
        <f>AND(#REF!,"AAAAAHb/uus=")</f>
        <v>#REF!</v>
      </c>
      <c r="IC18" s="1" t="e">
        <f>AND(#REF!,"AAAAAHb/uuw=")</f>
        <v>#REF!</v>
      </c>
      <c r="ID18" s="1" t="e">
        <f>AND(#REF!,"AAAAAHb/uu0=")</f>
        <v>#REF!</v>
      </c>
      <c r="IE18" s="1" t="e">
        <f>AND(#REF!,"AAAAAHb/uu4=")</f>
        <v>#REF!</v>
      </c>
      <c r="IF18" s="1" t="e">
        <f>AND(#REF!,"AAAAAHb/uu8=")</f>
        <v>#REF!</v>
      </c>
      <c r="IG18" s="1" t="e">
        <f>AND(#REF!,"AAAAAHb/uvA=")</f>
        <v>#REF!</v>
      </c>
      <c r="IH18" s="1" t="e">
        <f>AND(#REF!,"AAAAAHb/uvE=")</f>
        <v>#REF!</v>
      </c>
      <c r="II18" s="1" t="e">
        <f>AND(#REF!,"AAAAAHb/uvI=")</f>
        <v>#REF!</v>
      </c>
      <c r="IJ18" s="1" t="e">
        <f>AND(#REF!,"AAAAAHb/uvM=")</f>
        <v>#REF!</v>
      </c>
      <c r="IK18" s="1" t="e">
        <f>AND(#REF!,"AAAAAHb/uvQ=")</f>
        <v>#REF!</v>
      </c>
      <c r="IL18" s="1" t="e">
        <f>AND(#REF!,"AAAAAHb/uvU=")</f>
        <v>#REF!</v>
      </c>
      <c r="IM18" s="1" t="e">
        <f>AND(#REF!,"AAAAAHb/uvY=")</f>
        <v>#REF!</v>
      </c>
      <c r="IN18" s="1" t="e">
        <f>AND(#REF!,"AAAAAHb/uvc=")</f>
        <v>#REF!</v>
      </c>
      <c r="IO18" s="1" t="e">
        <f>AND(#REF!,"AAAAAHb/uvg=")</f>
        <v>#REF!</v>
      </c>
      <c r="IP18" s="1" t="e">
        <f>AND(#REF!,"AAAAAHb/uvk=")</f>
        <v>#REF!</v>
      </c>
      <c r="IQ18" s="1" t="e">
        <f>AND(#REF!,"AAAAAHb/uvo=")</f>
        <v>#REF!</v>
      </c>
      <c r="IR18" s="1" t="e">
        <f>AND(#REF!,"AAAAAHb/uvs=")</f>
        <v>#REF!</v>
      </c>
      <c r="IS18" s="1" t="e">
        <f>AND(#REF!,"AAAAAHb/uvw=")</f>
        <v>#REF!</v>
      </c>
      <c r="IT18" s="1" t="e">
        <f>AND(#REF!,"AAAAAHb/uv0=")</f>
        <v>#REF!</v>
      </c>
      <c r="IU18" s="1" t="e">
        <f>AND(#REF!,"AAAAAHb/uv4=")</f>
        <v>#REF!</v>
      </c>
      <c r="IV18" s="1" t="e">
        <f>AND(#REF!,"AAAAAHb/uv8=")</f>
        <v>#REF!</v>
      </c>
    </row>
    <row r="19" spans="1:256" ht="15" customHeight="1" x14ac:dyDescent="0.2">
      <c r="A19" s="1" t="e">
        <f>AND(#REF!,"AAAAAD+dzwA=")</f>
        <v>#REF!</v>
      </c>
      <c r="B19" s="1" t="e">
        <f>AND(#REF!,"AAAAAD+dzwE=")</f>
        <v>#REF!</v>
      </c>
      <c r="C19" s="1" t="e">
        <f>AND(#REF!,"AAAAAD+dzwI=")</f>
        <v>#REF!</v>
      </c>
      <c r="D19" s="1" t="e">
        <f>AND(#REF!,"AAAAAD+dzwM=")</f>
        <v>#REF!</v>
      </c>
      <c r="E19" s="1" t="e">
        <f>AND(#REF!,"AAAAAD+dzwQ=")</f>
        <v>#REF!</v>
      </c>
      <c r="F19" s="1" t="e">
        <f>AND(#REF!,"AAAAAD+dzwU=")</f>
        <v>#REF!</v>
      </c>
      <c r="G19" s="1" t="e">
        <f>AND(#REF!,"AAAAAD+dzwY=")</f>
        <v>#REF!</v>
      </c>
      <c r="H19" s="1" t="e">
        <f>AND(#REF!,"AAAAAD+dzwc=")</f>
        <v>#REF!</v>
      </c>
      <c r="I19" s="1" t="e">
        <f>AND(#REF!,"AAAAAD+dzwg=")</f>
        <v>#REF!</v>
      </c>
      <c r="J19" s="1" t="e">
        <f>AND(#REF!,"AAAAAD+dzwk=")</f>
        <v>#REF!</v>
      </c>
      <c r="K19" s="1" t="e">
        <f>AND(#REF!,"AAAAAD+dzwo=")</f>
        <v>#REF!</v>
      </c>
      <c r="L19" s="1" t="e">
        <f>AND(#REF!,"AAAAAD+dzws=")</f>
        <v>#REF!</v>
      </c>
      <c r="M19" s="1" t="e">
        <f>AND(#REF!,"AAAAAD+dzww=")</f>
        <v>#REF!</v>
      </c>
      <c r="N19" s="1" t="e">
        <f>AND(#REF!,"AAAAAD+dzw0=")</f>
        <v>#REF!</v>
      </c>
      <c r="O19" s="1" t="e">
        <f>AND(#REF!,"AAAAAD+dzw4=")</f>
        <v>#REF!</v>
      </c>
      <c r="P19" s="1" t="e">
        <f>AND(#REF!,"AAAAAD+dzw8=")</f>
        <v>#REF!</v>
      </c>
      <c r="Q19" s="1" t="e">
        <f>AND(#REF!,"AAAAAD+dzxA=")</f>
        <v>#REF!</v>
      </c>
      <c r="R19" s="1" t="e">
        <f>AND(#REF!,"AAAAAD+dzxE=")</f>
        <v>#REF!</v>
      </c>
      <c r="S19" s="1" t="e">
        <f>AND(#REF!,"AAAAAD+dzxI=")</f>
        <v>#REF!</v>
      </c>
      <c r="T19" s="1" t="e">
        <f>AND(#REF!,"AAAAAD+dzxM=")</f>
        <v>#REF!</v>
      </c>
      <c r="U19" s="1" t="e">
        <f>AND(#REF!,"AAAAAD+dzxQ=")</f>
        <v>#REF!</v>
      </c>
      <c r="V19" s="1" t="e">
        <f>AND(#REF!,"AAAAAD+dzxU=")</f>
        <v>#REF!</v>
      </c>
      <c r="W19" s="1" t="e">
        <f>AND(#REF!,"AAAAAD+dzxY=")</f>
        <v>#REF!</v>
      </c>
      <c r="X19" s="1" t="e">
        <f>AND(#REF!,"AAAAAD+dzxc=")</f>
        <v>#REF!</v>
      </c>
      <c r="Y19" s="1" t="e">
        <f>AND(#REF!,"AAAAAD+dzxg=")</f>
        <v>#REF!</v>
      </c>
      <c r="Z19" s="1" t="e">
        <f>AND(#REF!,"AAAAAD+dzxk=")</f>
        <v>#REF!</v>
      </c>
      <c r="AA19" s="1" t="e">
        <f>AND(#REF!,"AAAAAD+dzxo=")</f>
        <v>#REF!</v>
      </c>
      <c r="AB19" s="1" t="e">
        <f>AND(#REF!,"AAAAAD+dzxs=")</f>
        <v>#REF!</v>
      </c>
      <c r="AC19" s="1" t="e">
        <f>AND(#REF!,"AAAAAD+dzxw=")</f>
        <v>#REF!</v>
      </c>
      <c r="AD19" s="1" t="e">
        <f>AND(#REF!,"AAAAAD+dzx0=")</f>
        <v>#REF!</v>
      </c>
      <c r="AE19" s="1" t="e">
        <f>AND(#REF!,"AAAAAD+dzx4=")</f>
        <v>#REF!</v>
      </c>
      <c r="AF19" s="1" t="e">
        <f>AND(#REF!,"AAAAAD+dzx8=")</f>
        <v>#REF!</v>
      </c>
      <c r="AG19" s="1" t="e">
        <f>AND(#REF!,"AAAAAD+dzyA=")</f>
        <v>#REF!</v>
      </c>
      <c r="AH19" s="1" t="e">
        <f>AND(#REF!,"AAAAAD+dzyE=")</f>
        <v>#REF!</v>
      </c>
      <c r="AI19" s="1" t="e">
        <f>AND(#REF!,"AAAAAD+dzyI=")</f>
        <v>#REF!</v>
      </c>
      <c r="AJ19" s="1" t="e">
        <f>AND(#REF!,"AAAAAD+dzyM=")</f>
        <v>#REF!</v>
      </c>
      <c r="AK19" s="1" t="e">
        <f>AND(#REF!,"AAAAAD+dzyQ=")</f>
        <v>#REF!</v>
      </c>
      <c r="AL19" s="1" t="e">
        <f>AND(#REF!,"AAAAAD+dzyU=")</f>
        <v>#REF!</v>
      </c>
      <c r="AM19" s="1" t="e">
        <f>AND(#REF!,"AAAAAD+dzyY=")</f>
        <v>#REF!</v>
      </c>
      <c r="AN19" s="1" t="e">
        <f>AND(#REF!,"AAAAAD+dzyc=")</f>
        <v>#REF!</v>
      </c>
      <c r="AO19" s="1" t="e">
        <f>AND(#REF!,"AAAAAD+dzyg=")</f>
        <v>#REF!</v>
      </c>
      <c r="AP19" s="1" t="e">
        <f>AND(#REF!,"AAAAAD+dzyk=")</f>
        <v>#REF!</v>
      </c>
      <c r="AQ19" s="1" t="e">
        <f>AND(#REF!,"AAAAAD+dzyo=")</f>
        <v>#REF!</v>
      </c>
      <c r="AR19" s="1" t="e">
        <f>AND(#REF!,"AAAAAD+dzys=")</f>
        <v>#REF!</v>
      </c>
      <c r="AS19" s="1" t="e">
        <f>AND(#REF!,"AAAAAD+dzyw=")</f>
        <v>#REF!</v>
      </c>
      <c r="AT19" s="1" t="e">
        <f>AND(#REF!,"AAAAAD+dzy0=")</f>
        <v>#REF!</v>
      </c>
      <c r="AU19" s="1" t="e">
        <f>AND(#REF!,"AAAAAD+dzy4=")</f>
        <v>#REF!</v>
      </c>
      <c r="AV19" s="1" t="e">
        <f>AND(#REF!,"AAAAAD+dzy8=")</f>
        <v>#REF!</v>
      </c>
      <c r="AW19" s="1" t="e">
        <f>AND(#REF!,"AAAAAD+dzzA=")</f>
        <v>#REF!</v>
      </c>
      <c r="AX19" s="1" t="e">
        <f>AND(#REF!,"AAAAAD+dzzE=")</f>
        <v>#REF!</v>
      </c>
      <c r="AY19" s="1" t="e">
        <f>AND(#REF!,"AAAAAD+dzzI=")</f>
        <v>#REF!</v>
      </c>
      <c r="AZ19" s="1" t="e">
        <f>AND(#REF!,"AAAAAD+dzzM=")</f>
        <v>#REF!</v>
      </c>
      <c r="BA19" s="1" t="e">
        <f>AND(#REF!,"AAAAAD+dzzQ=")</f>
        <v>#REF!</v>
      </c>
      <c r="BB19" s="1" t="e">
        <f>AND(#REF!,"AAAAAD+dzzU=")</f>
        <v>#REF!</v>
      </c>
      <c r="BC19" s="1" t="e">
        <f>AND(#REF!,"AAAAAD+dzzY=")</f>
        <v>#REF!</v>
      </c>
      <c r="BD19" s="1" t="e">
        <f>AND(#REF!,"AAAAAD+dzzc=")</f>
        <v>#REF!</v>
      </c>
      <c r="BE19" s="1" t="e">
        <f>AND(#REF!,"AAAAAD+dzzg=")</f>
        <v>#REF!</v>
      </c>
      <c r="BF19" s="1" t="e">
        <f>AND(#REF!,"AAAAAD+dzzk=")</f>
        <v>#REF!</v>
      </c>
      <c r="BG19" s="1" t="e">
        <f>AND(#REF!,"AAAAAD+dzzo=")</f>
        <v>#REF!</v>
      </c>
      <c r="BH19" s="1" t="e">
        <f>AND(#REF!,"AAAAAD+dzzs=")</f>
        <v>#REF!</v>
      </c>
      <c r="BI19" s="1" t="e">
        <f>AND(#REF!,"AAAAAD+dzzw=")</f>
        <v>#REF!</v>
      </c>
      <c r="BJ19" s="1" t="e">
        <f>AND(#REF!,"AAAAAD+dzz0=")</f>
        <v>#REF!</v>
      </c>
      <c r="BK19" s="1" t="e">
        <f>AND(#REF!,"AAAAAD+dzz4=")</f>
        <v>#REF!</v>
      </c>
      <c r="BL19" s="1" t="e">
        <f>AND(#REF!,"AAAAAD+dzz8=")</f>
        <v>#REF!</v>
      </c>
      <c r="BM19" s="1" t="e">
        <f>AND(#REF!,"AAAAAD+dz0A=")</f>
        <v>#REF!</v>
      </c>
      <c r="BN19" s="1" t="e">
        <f>AND(#REF!,"AAAAAD+dz0E=")</f>
        <v>#REF!</v>
      </c>
      <c r="BO19" s="1" t="e">
        <f>AND(#REF!,"AAAAAD+dz0I=")</f>
        <v>#REF!</v>
      </c>
      <c r="BP19" s="1" t="e">
        <f>AND(#REF!,"AAAAAD+dz0M=")</f>
        <v>#REF!</v>
      </c>
      <c r="BQ19" s="1" t="e">
        <f>AND(#REF!,"AAAAAD+dz0Q=")</f>
        <v>#REF!</v>
      </c>
      <c r="BR19" s="1" t="e">
        <f>AND(#REF!,"AAAAAD+dz0U=")</f>
        <v>#REF!</v>
      </c>
      <c r="BS19" s="1" t="e">
        <f>AND(#REF!,"AAAAAD+dz0Y=")</f>
        <v>#REF!</v>
      </c>
      <c r="BT19" s="1" t="e">
        <f>AND(#REF!,"AAAAAD+dz0c=")</f>
        <v>#REF!</v>
      </c>
      <c r="BU19" s="1" t="e">
        <f>AND(#REF!,"AAAAAD+dz0g=")</f>
        <v>#REF!</v>
      </c>
      <c r="BV19" s="1" t="e">
        <f>AND(#REF!,"AAAAAD+dz0k=")</f>
        <v>#REF!</v>
      </c>
      <c r="BW19" s="1" t="e">
        <f>AND(#REF!,"AAAAAD+dz0o=")</f>
        <v>#REF!</v>
      </c>
      <c r="BX19" s="1" t="e">
        <f>AND(#REF!,"AAAAAD+dz0s=")</f>
        <v>#REF!</v>
      </c>
      <c r="BY19" s="1" t="e">
        <f>AND(#REF!,"AAAAAD+dz0w=")</f>
        <v>#REF!</v>
      </c>
      <c r="BZ19" s="1" t="e">
        <f>AND(#REF!,"AAAAAD+dz00=")</f>
        <v>#REF!</v>
      </c>
      <c r="CA19" s="1" t="e">
        <f>AND(#REF!,"AAAAAD+dz04=")</f>
        <v>#REF!</v>
      </c>
      <c r="CB19" s="1" t="e">
        <f>AND(#REF!,"AAAAAD+dz08=")</f>
        <v>#REF!</v>
      </c>
      <c r="CC19" s="1" t="e">
        <f>AND(#REF!,"AAAAAD+dz1A=")</f>
        <v>#REF!</v>
      </c>
      <c r="CD19" s="1" t="e">
        <f>IF(#REF!,"AAAAAD+dz1E=",0)</f>
        <v>#REF!</v>
      </c>
      <c r="CE19" s="1" t="e">
        <f>AND(#REF!,"AAAAAD+dz1I=")</f>
        <v>#REF!</v>
      </c>
      <c r="CF19" s="1" t="e">
        <f>AND(#REF!,"AAAAAD+dz1M=")</f>
        <v>#REF!</v>
      </c>
      <c r="CG19" s="1" t="e">
        <f>AND(#REF!,"AAAAAD+dz1Q=")</f>
        <v>#REF!</v>
      </c>
      <c r="CH19" s="1" t="e">
        <f>AND(#REF!,"AAAAAD+dz1U=")</f>
        <v>#REF!</v>
      </c>
      <c r="CI19" s="1" t="e">
        <f>AND(#REF!,"AAAAAD+dz1Y=")</f>
        <v>#REF!</v>
      </c>
      <c r="CJ19" s="1" t="e">
        <f>AND(#REF!,"AAAAAD+dz1c=")</f>
        <v>#REF!</v>
      </c>
      <c r="CK19" s="1" t="e">
        <f>AND(#REF!,"AAAAAD+dz1g=")</f>
        <v>#REF!</v>
      </c>
      <c r="CL19" s="1" t="e">
        <f>AND(#REF!,"AAAAAD+dz1k=")</f>
        <v>#REF!</v>
      </c>
      <c r="CM19" s="1" t="e">
        <f>AND(#REF!,"AAAAAD+dz1o=")</f>
        <v>#REF!</v>
      </c>
      <c r="CN19" s="1" t="e">
        <f>AND(#REF!,"AAAAAD+dz1s=")</f>
        <v>#REF!</v>
      </c>
      <c r="CO19" s="1" t="e">
        <f>AND(#REF!,"AAAAAD+dz1w=")</f>
        <v>#REF!</v>
      </c>
      <c r="CP19" s="1" t="e">
        <f>AND(#REF!,"AAAAAD+dz10=")</f>
        <v>#REF!</v>
      </c>
      <c r="CQ19" s="1" t="e">
        <f>AND(#REF!,"AAAAAD+dz14=")</f>
        <v>#REF!</v>
      </c>
      <c r="CR19" s="1" t="e">
        <f>AND(#REF!,"AAAAAD+dz18=")</f>
        <v>#REF!</v>
      </c>
      <c r="CS19" s="1" t="e">
        <f>AND(#REF!,"AAAAAD+dz2A=")</f>
        <v>#REF!</v>
      </c>
      <c r="CT19" s="1" t="e">
        <f>AND(#REF!,"AAAAAD+dz2E=")</f>
        <v>#REF!</v>
      </c>
      <c r="CU19" s="1" t="e">
        <f>AND(#REF!,"AAAAAD+dz2I=")</f>
        <v>#REF!</v>
      </c>
      <c r="CV19" s="1" t="e">
        <f>AND(#REF!,"AAAAAD+dz2M=")</f>
        <v>#REF!</v>
      </c>
      <c r="CW19" s="1" t="e">
        <f>AND(#REF!,"AAAAAD+dz2Q=")</f>
        <v>#REF!</v>
      </c>
      <c r="CX19" s="1" t="e">
        <f>AND(#REF!,"AAAAAD+dz2U=")</f>
        <v>#REF!</v>
      </c>
      <c r="CY19" s="1" t="e">
        <f>AND(#REF!,"AAAAAD+dz2Y=")</f>
        <v>#REF!</v>
      </c>
      <c r="CZ19" s="1" t="e">
        <f>AND(#REF!,"AAAAAD+dz2c=")</f>
        <v>#REF!</v>
      </c>
      <c r="DA19" s="1" t="e">
        <f>AND(#REF!,"AAAAAD+dz2g=")</f>
        <v>#REF!</v>
      </c>
      <c r="DB19" s="1" t="e">
        <f>AND(#REF!,"AAAAAD+dz2k=")</f>
        <v>#REF!</v>
      </c>
      <c r="DC19" s="1" t="e">
        <f>AND(#REF!,"AAAAAD+dz2o=")</f>
        <v>#REF!</v>
      </c>
      <c r="DD19" s="1" t="e">
        <f>AND(#REF!,"AAAAAD+dz2s=")</f>
        <v>#REF!</v>
      </c>
      <c r="DE19" s="1" t="e">
        <f>AND(#REF!,"AAAAAD+dz2w=")</f>
        <v>#REF!</v>
      </c>
      <c r="DF19" s="1" t="e">
        <f>AND(#REF!,"AAAAAD+dz20=")</f>
        <v>#REF!</v>
      </c>
      <c r="DG19" s="1" t="e">
        <f>AND(#REF!,"AAAAAD+dz24=")</f>
        <v>#REF!</v>
      </c>
      <c r="DH19" s="1" t="e">
        <f>AND(#REF!,"AAAAAD+dz28=")</f>
        <v>#REF!</v>
      </c>
      <c r="DI19" s="1" t="e">
        <f>AND(#REF!,"AAAAAD+dz3A=")</f>
        <v>#REF!</v>
      </c>
      <c r="DJ19" s="1" t="e">
        <f>AND(#REF!,"AAAAAD+dz3E=")</f>
        <v>#REF!</v>
      </c>
      <c r="DK19" s="1" t="e">
        <f>AND(#REF!,"AAAAAD+dz3I=")</f>
        <v>#REF!</v>
      </c>
      <c r="DL19" s="1" t="e">
        <f>AND(#REF!,"AAAAAD+dz3M=")</f>
        <v>#REF!</v>
      </c>
      <c r="DM19" s="1" t="e">
        <f>AND(#REF!,"AAAAAD+dz3Q=")</f>
        <v>#REF!</v>
      </c>
      <c r="DN19" s="1" t="e">
        <f>AND(#REF!,"AAAAAD+dz3U=")</f>
        <v>#REF!</v>
      </c>
      <c r="DO19" s="1" t="e">
        <f>AND(#REF!,"AAAAAD+dz3Y=")</f>
        <v>#REF!</v>
      </c>
      <c r="DP19" s="1" t="e">
        <f>AND(#REF!,"AAAAAD+dz3c=")</f>
        <v>#REF!</v>
      </c>
      <c r="DQ19" s="1" t="e">
        <f>AND(#REF!,"AAAAAD+dz3g=")</f>
        <v>#REF!</v>
      </c>
      <c r="DR19" s="1" t="e">
        <f>AND(#REF!,"AAAAAD+dz3k=")</f>
        <v>#REF!</v>
      </c>
      <c r="DS19" s="1" t="e">
        <f>AND(#REF!,"AAAAAD+dz3o=")</f>
        <v>#REF!</v>
      </c>
      <c r="DT19" s="1" t="e">
        <f>AND(#REF!,"AAAAAD+dz3s=")</f>
        <v>#REF!</v>
      </c>
      <c r="DU19" s="1" t="e">
        <f>AND(#REF!,"AAAAAD+dz3w=")</f>
        <v>#REF!</v>
      </c>
      <c r="DV19" s="1" t="e">
        <f>AND(#REF!,"AAAAAD+dz30=")</f>
        <v>#REF!</v>
      </c>
      <c r="DW19" s="1" t="e">
        <f>AND(#REF!,"AAAAAD+dz34=")</f>
        <v>#REF!</v>
      </c>
      <c r="DX19" s="1" t="e">
        <f>AND(#REF!,"AAAAAD+dz38=")</f>
        <v>#REF!</v>
      </c>
      <c r="DY19" s="1" t="e">
        <f>AND(#REF!,"AAAAAD+dz4A=")</f>
        <v>#REF!</v>
      </c>
      <c r="DZ19" s="1" t="e">
        <f>AND(#REF!,"AAAAAD+dz4E=")</f>
        <v>#REF!</v>
      </c>
      <c r="EA19" s="1" t="e">
        <f>AND(#REF!,"AAAAAD+dz4I=")</f>
        <v>#REF!</v>
      </c>
      <c r="EB19" s="1" t="e">
        <f>AND(#REF!,"AAAAAD+dz4M=")</f>
        <v>#REF!</v>
      </c>
      <c r="EC19" s="1" t="e">
        <f>AND(#REF!,"AAAAAD+dz4Q=")</f>
        <v>#REF!</v>
      </c>
      <c r="ED19" s="1" t="e">
        <f>AND(#REF!,"AAAAAD+dz4U=")</f>
        <v>#REF!</v>
      </c>
      <c r="EE19" s="1" t="e">
        <f>AND(#REF!,"AAAAAD+dz4Y=")</f>
        <v>#REF!</v>
      </c>
      <c r="EF19" s="1" t="e">
        <f>AND(#REF!,"AAAAAD+dz4c=")</f>
        <v>#REF!</v>
      </c>
      <c r="EG19" s="1" t="e">
        <f>AND(#REF!,"AAAAAD+dz4g=")</f>
        <v>#REF!</v>
      </c>
      <c r="EH19" s="1" t="e">
        <f>AND(#REF!,"AAAAAD+dz4k=")</f>
        <v>#REF!</v>
      </c>
      <c r="EI19" s="1" t="e">
        <f>AND(#REF!,"AAAAAD+dz4o=")</f>
        <v>#REF!</v>
      </c>
      <c r="EJ19" s="1" t="e">
        <f>AND(#REF!,"AAAAAD+dz4s=")</f>
        <v>#REF!</v>
      </c>
      <c r="EK19" s="1" t="e">
        <f>AND(#REF!,"AAAAAD+dz4w=")</f>
        <v>#REF!</v>
      </c>
      <c r="EL19" s="1" t="e">
        <f>AND(#REF!,"AAAAAD+dz40=")</f>
        <v>#REF!</v>
      </c>
      <c r="EM19" s="1" t="e">
        <f>AND(#REF!,"AAAAAD+dz44=")</f>
        <v>#REF!</v>
      </c>
      <c r="EN19" s="1" t="e">
        <f>AND(#REF!,"AAAAAD+dz48=")</f>
        <v>#REF!</v>
      </c>
      <c r="EO19" s="1" t="e">
        <f>AND(#REF!,"AAAAAD+dz5A=")</f>
        <v>#REF!</v>
      </c>
      <c r="EP19" s="1" t="e">
        <f>AND(#REF!,"AAAAAD+dz5E=")</f>
        <v>#REF!</v>
      </c>
      <c r="EQ19" s="1" t="e">
        <f>AND(#REF!,"AAAAAD+dz5I=")</f>
        <v>#REF!</v>
      </c>
      <c r="ER19" s="1" t="e">
        <f>AND(#REF!,"AAAAAD+dz5M=")</f>
        <v>#REF!</v>
      </c>
      <c r="ES19" s="1" t="e">
        <f>AND(#REF!,"AAAAAD+dz5Q=")</f>
        <v>#REF!</v>
      </c>
      <c r="ET19" s="1" t="e">
        <f>AND(#REF!,"AAAAAD+dz5U=")</f>
        <v>#REF!</v>
      </c>
      <c r="EU19" s="1" t="e">
        <f>AND(#REF!,"AAAAAD+dz5Y=")</f>
        <v>#REF!</v>
      </c>
      <c r="EV19" s="1" t="e">
        <f>AND(#REF!,"AAAAAD+dz5c=")</f>
        <v>#REF!</v>
      </c>
      <c r="EW19" s="1" t="e">
        <f>AND(#REF!,"AAAAAD+dz5g=")</f>
        <v>#REF!</v>
      </c>
      <c r="EX19" s="1" t="e">
        <f>AND(#REF!,"AAAAAD+dz5k=")</f>
        <v>#REF!</v>
      </c>
      <c r="EY19" s="1" t="e">
        <f>AND(#REF!,"AAAAAD+dz5o=")</f>
        <v>#REF!</v>
      </c>
      <c r="EZ19" s="1" t="e">
        <f>AND(#REF!,"AAAAAD+dz5s=")</f>
        <v>#REF!</v>
      </c>
      <c r="FA19" s="1" t="e">
        <f>AND(#REF!,"AAAAAD+dz5w=")</f>
        <v>#REF!</v>
      </c>
      <c r="FB19" s="1" t="e">
        <f>AND(#REF!,"AAAAAD+dz50=")</f>
        <v>#REF!</v>
      </c>
      <c r="FC19" s="1" t="e">
        <f>AND(#REF!,"AAAAAD+dz54=")</f>
        <v>#REF!</v>
      </c>
      <c r="FD19" s="1" t="e">
        <f>AND(#REF!,"AAAAAD+dz58=")</f>
        <v>#REF!</v>
      </c>
      <c r="FE19" s="1" t="e">
        <f>AND(#REF!,"AAAAAD+dz6A=")</f>
        <v>#REF!</v>
      </c>
      <c r="FF19" s="1" t="e">
        <f>AND(#REF!,"AAAAAD+dz6E=")</f>
        <v>#REF!</v>
      </c>
      <c r="FG19" s="1" t="e">
        <f>AND(#REF!,"AAAAAD+dz6I=")</f>
        <v>#REF!</v>
      </c>
      <c r="FH19" s="1" t="e">
        <f>AND(#REF!,"AAAAAD+dz6M=")</f>
        <v>#REF!</v>
      </c>
      <c r="FI19" s="1" t="e">
        <f>AND(#REF!,"AAAAAD+dz6Q=")</f>
        <v>#REF!</v>
      </c>
      <c r="FJ19" s="1" t="e">
        <f>AND(#REF!,"AAAAAD+dz6U=")</f>
        <v>#REF!</v>
      </c>
      <c r="FK19" s="1" t="e">
        <f>AND(#REF!,"AAAAAD+dz6Y=")</f>
        <v>#REF!</v>
      </c>
      <c r="FL19" s="1" t="e">
        <f>AND(#REF!,"AAAAAD+dz6c=")</f>
        <v>#REF!</v>
      </c>
      <c r="FM19" s="1" t="e">
        <f>AND(#REF!,"AAAAAD+dz6g=")</f>
        <v>#REF!</v>
      </c>
      <c r="FN19" s="1" t="e">
        <f>AND(#REF!,"AAAAAD+dz6k=")</f>
        <v>#REF!</v>
      </c>
      <c r="FO19" s="1" t="e">
        <f>AND(#REF!,"AAAAAD+dz6o=")</f>
        <v>#REF!</v>
      </c>
      <c r="FP19" s="1" t="e">
        <f>AND(#REF!,"AAAAAD+dz6s=")</f>
        <v>#REF!</v>
      </c>
      <c r="FQ19" s="1" t="e">
        <f>AND(#REF!,"AAAAAD+dz6w=")</f>
        <v>#REF!</v>
      </c>
      <c r="FR19" s="1" t="e">
        <f>AND(#REF!,"AAAAAD+dz60=")</f>
        <v>#REF!</v>
      </c>
      <c r="FS19" s="1" t="e">
        <f>AND(#REF!,"AAAAAD+dz64=")</f>
        <v>#REF!</v>
      </c>
      <c r="FT19" s="1" t="e">
        <f>AND(#REF!,"AAAAAD+dz68=")</f>
        <v>#REF!</v>
      </c>
      <c r="FU19" s="1" t="e">
        <f>AND(#REF!,"AAAAAD+dz7A=")</f>
        <v>#REF!</v>
      </c>
      <c r="FV19" s="1" t="e">
        <f>AND(#REF!,"AAAAAD+dz7E=")</f>
        <v>#REF!</v>
      </c>
      <c r="FW19" s="1" t="e">
        <f>AND(#REF!,"AAAAAD+dz7I=")</f>
        <v>#REF!</v>
      </c>
      <c r="FX19" s="1" t="e">
        <f>AND(#REF!,"AAAAAD+dz7M=")</f>
        <v>#REF!</v>
      </c>
      <c r="FY19" s="1" t="e">
        <f>AND(#REF!,"AAAAAD+dz7Q=")</f>
        <v>#REF!</v>
      </c>
      <c r="FZ19" s="1" t="e">
        <f>AND(#REF!,"AAAAAD+dz7U=")</f>
        <v>#REF!</v>
      </c>
      <c r="GA19" s="1" t="e">
        <f>AND(#REF!,"AAAAAD+dz7Y=")</f>
        <v>#REF!</v>
      </c>
      <c r="GB19" s="1" t="e">
        <f>AND(#REF!,"AAAAAD+dz7c=")</f>
        <v>#REF!</v>
      </c>
      <c r="GC19" s="1" t="e">
        <f>IF(#REF!,"AAAAAD+dz7g=",0)</f>
        <v>#REF!</v>
      </c>
      <c r="GD19" s="1" t="e">
        <f>AND(#REF!,"AAAAAD+dz7k=")</f>
        <v>#REF!</v>
      </c>
      <c r="GE19" s="1" t="e">
        <f>AND(#REF!,"AAAAAD+dz7o=")</f>
        <v>#REF!</v>
      </c>
      <c r="GF19" s="1" t="e">
        <f>AND(#REF!,"AAAAAD+dz7s=")</f>
        <v>#REF!</v>
      </c>
      <c r="GG19" s="1" t="e">
        <f>AND(#REF!,"AAAAAD+dz7w=")</f>
        <v>#REF!</v>
      </c>
      <c r="GH19" s="1" t="e">
        <f>AND(#REF!,"AAAAAD+dz70=")</f>
        <v>#REF!</v>
      </c>
      <c r="GI19" s="1" t="e">
        <f>AND(#REF!,"AAAAAD+dz74=")</f>
        <v>#REF!</v>
      </c>
      <c r="GJ19" s="1" t="e">
        <f>AND(#REF!,"AAAAAD+dz78=")</f>
        <v>#REF!</v>
      </c>
      <c r="GK19" s="1" t="e">
        <f>AND(#REF!,"AAAAAD+dz8A=")</f>
        <v>#REF!</v>
      </c>
      <c r="GL19" s="1" t="e">
        <f>AND(#REF!,"AAAAAD+dz8E=")</f>
        <v>#REF!</v>
      </c>
      <c r="GM19" s="1" t="e">
        <f>AND(#REF!,"AAAAAD+dz8I=")</f>
        <v>#REF!</v>
      </c>
      <c r="GN19" s="1" t="e">
        <f>AND(#REF!,"AAAAAD+dz8M=")</f>
        <v>#REF!</v>
      </c>
      <c r="GO19" s="1" t="e">
        <f>AND(#REF!,"AAAAAD+dz8Q=")</f>
        <v>#REF!</v>
      </c>
      <c r="GP19" s="1" t="e">
        <f>AND(#REF!,"AAAAAD+dz8U=")</f>
        <v>#REF!</v>
      </c>
      <c r="GQ19" s="1" t="e">
        <f>AND(#REF!,"AAAAAD+dz8Y=")</f>
        <v>#REF!</v>
      </c>
      <c r="GR19" s="1" t="e">
        <f>AND(#REF!,"AAAAAD+dz8c=")</f>
        <v>#REF!</v>
      </c>
      <c r="GS19" s="1" t="e">
        <f>AND(#REF!,"AAAAAD+dz8g=")</f>
        <v>#REF!</v>
      </c>
      <c r="GT19" s="1" t="e">
        <f>AND(#REF!,"AAAAAD+dz8k=")</f>
        <v>#REF!</v>
      </c>
      <c r="GU19" s="1" t="e">
        <f>AND(#REF!,"AAAAAD+dz8o=")</f>
        <v>#REF!</v>
      </c>
      <c r="GV19" s="1" t="e">
        <f>AND(#REF!,"AAAAAD+dz8s=")</f>
        <v>#REF!</v>
      </c>
      <c r="GW19" s="1" t="e">
        <f>AND(#REF!,"AAAAAD+dz8w=")</f>
        <v>#REF!</v>
      </c>
      <c r="GX19" s="1" t="e">
        <f>AND(#REF!,"AAAAAD+dz80=")</f>
        <v>#REF!</v>
      </c>
      <c r="GY19" s="1" t="e">
        <f>AND(#REF!,"AAAAAD+dz84=")</f>
        <v>#REF!</v>
      </c>
      <c r="GZ19" s="1" t="e">
        <f>AND(#REF!,"AAAAAD+dz88=")</f>
        <v>#REF!</v>
      </c>
      <c r="HA19" s="1" t="e">
        <f>AND(#REF!,"AAAAAD+dz9A=")</f>
        <v>#REF!</v>
      </c>
      <c r="HB19" s="1" t="e">
        <f>AND(#REF!,"AAAAAD+dz9E=")</f>
        <v>#REF!</v>
      </c>
      <c r="HC19" s="1" t="e">
        <f>AND(#REF!,"AAAAAD+dz9I=")</f>
        <v>#REF!</v>
      </c>
      <c r="HD19" s="1" t="e">
        <f>AND(#REF!,"AAAAAD+dz9M=")</f>
        <v>#REF!</v>
      </c>
      <c r="HE19" s="1" t="e">
        <f>AND(#REF!,"AAAAAD+dz9Q=")</f>
        <v>#REF!</v>
      </c>
      <c r="HF19" s="1" t="e">
        <f>AND(#REF!,"AAAAAD+dz9U=")</f>
        <v>#REF!</v>
      </c>
      <c r="HG19" s="1" t="e">
        <f>AND(#REF!,"AAAAAD+dz9Y=")</f>
        <v>#REF!</v>
      </c>
      <c r="HH19" s="1" t="e">
        <f>AND(#REF!,"AAAAAD+dz9c=")</f>
        <v>#REF!</v>
      </c>
      <c r="HI19" s="1" t="e">
        <f>AND(#REF!,"AAAAAD+dz9g=")</f>
        <v>#REF!</v>
      </c>
      <c r="HJ19" s="1" t="e">
        <f>AND(#REF!,"AAAAAD+dz9k=")</f>
        <v>#REF!</v>
      </c>
      <c r="HK19" s="1" t="e">
        <f>AND(#REF!,"AAAAAD+dz9o=")</f>
        <v>#REF!</v>
      </c>
      <c r="HL19" s="1" t="e">
        <f>AND(#REF!,"AAAAAD+dz9s=")</f>
        <v>#REF!</v>
      </c>
      <c r="HM19" s="1" t="e">
        <f>AND(#REF!,"AAAAAD+dz9w=")</f>
        <v>#REF!</v>
      </c>
      <c r="HN19" s="1" t="e">
        <f>AND(#REF!,"AAAAAD+dz90=")</f>
        <v>#REF!</v>
      </c>
      <c r="HO19" s="1" t="e">
        <f>AND(#REF!,"AAAAAD+dz94=")</f>
        <v>#REF!</v>
      </c>
      <c r="HP19" s="1" t="e">
        <f>AND(#REF!,"AAAAAD+dz98=")</f>
        <v>#REF!</v>
      </c>
      <c r="HQ19" s="1" t="e">
        <f>AND(#REF!,"AAAAAD+dz+A=")</f>
        <v>#REF!</v>
      </c>
      <c r="HR19" s="1" t="e">
        <f>AND(#REF!,"AAAAAD+dz+E=")</f>
        <v>#REF!</v>
      </c>
      <c r="HS19" s="1" t="e">
        <f>AND(#REF!,"AAAAAD+dz+I=")</f>
        <v>#REF!</v>
      </c>
      <c r="HT19" s="1" t="e">
        <f>AND(#REF!,"AAAAAD+dz+M=")</f>
        <v>#REF!</v>
      </c>
      <c r="HU19" s="1" t="e">
        <f>AND(#REF!,"AAAAAD+dz+Q=")</f>
        <v>#REF!</v>
      </c>
      <c r="HV19" s="1" t="e">
        <f>AND(#REF!,"AAAAAD+dz+U=")</f>
        <v>#REF!</v>
      </c>
      <c r="HW19" s="1" t="e">
        <f>AND(#REF!,"AAAAAD+dz+Y=")</f>
        <v>#REF!</v>
      </c>
      <c r="HX19" s="1" t="e">
        <f>AND(#REF!,"AAAAAD+dz+c=")</f>
        <v>#REF!</v>
      </c>
      <c r="HY19" s="1" t="e">
        <f>AND(#REF!,"AAAAAD+dz+g=")</f>
        <v>#REF!</v>
      </c>
      <c r="HZ19" s="1" t="e">
        <f>AND(#REF!,"AAAAAD+dz+k=")</f>
        <v>#REF!</v>
      </c>
      <c r="IA19" s="1" t="e">
        <f>AND(#REF!,"AAAAAD+dz+o=")</f>
        <v>#REF!</v>
      </c>
      <c r="IB19" s="1" t="e">
        <f>AND(#REF!,"AAAAAD+dz+s=")</f>
        <v>#REF!</v>
      </c>
      <c r="IC19" s="1" t="e">
        <f>AND(#REF!,"AAAAAD+dz+w=")</f>
        <v>#REF!</v>
      </c>
      <c r="ID19" s="1" t="e">
        <f>AND(#REF!,"AAAAAD+dz+0=")</f>
        <v>#REF!</v>
      </c>
      <c r="IE19" s="1" t="e">
        <f>AND(#REF!,"AAAAAD+dz+4=")</f>
        <v>#REF!</v>
      </c>
      <c r="IF19" s="1" t="e">
        <f>AND(#REF!,"AAAAAD+dz+8=")</f>
        <v>#REF!</v>
      </c>
      <c r="IG19" s="1" t="e">
        <f>AND(#REF!,"AAAAAD+dz/A=")</f>
        <v>#REF!</v>
      </c>
      <c r="IH19" s="1" t="e">
        <f>AND(#REF!,"AAAAAD+dz/E=")</f>
        <v>#REF!</v>
      </c>
      <c r="II19" s="1" t="e">
        <f>AND(#REF!,"AAAAAD+dz/I=")</f>
        <v>#REF!</v>
      </c>
      <c r="IJ19" s="1" t="e">
        <f>AND(#REF!,"AAAAAD+dz/M=")</f>
        <v>#REF!</v>
      </c>
      <c r="IK19" s="1" t="e">
        <f>AND(#REF!,"AAAAAD+dz/Q=")</f>
        <v>#REF!</v>
      </c>
      <c r="IL19" s="1" t="e">
        <f>AND(#REF!,"AAAAAD+dz/U=")</f>
        <v>#REF!</v>
      </c>
      <c r="IM19" s="1" t="e">
        <f>AND(#REF!,"AAAAAD+dz/Y=")</f>
        <v>#REF!</v>
      </c>
      <c r="IN19" s="1" t="e">
        <f>AND(#REF!,"AAAAAD+dz/c=")</f>
        <v>#REF!</v>
      </c>
      <c r="IO19" s="1" t="e">
        <f>AND(#REF!,"AAAAAD+dz/g=")</f>
        <v>#REF!</v>
      </c>
      <c r="IP19" s="1" t="e">
        <f>AND(#REF!,"AAAAAD+dz/k=")</f>
        <v>#REF!</v>
      </c>
      <c r="IQ19" s="1" t="e">
        <f>AND(#REF!,"AAAAAD+dz/o=")</f>
        <v>#REF!</v>
      </c>
      <c r="IR19" s="1" t="e">
        <f>AND(#REF!,"AAAAAD+dz/s=")</f>
        <v>#REF!</v>
      </c>
      <c r="IS19" s="1" t="e">
        <f>AND(#REF!,"AAAAAD+dz/w=")</f>
        <v>#REF!</v>
      </c>
      <c r="IT19" s="1" t="e">
        <f>AND(#REF!,"AAAAAD+dz/0=")</f>
        <v>#REF!</v>
      </c>
      <c r="IU19" s="1" t="e">
        <f>AND(#REF!,"AAAAAD+dz/4=")</f>
        <v>#REF!</v>
      </c>
      <c r="IV19" s="1" t="e">
        <f>AND(#REF!,"AAAAAD+dz/8=")</f>
        <v>#REF!</v>
      </c>
    </row>
    <row r="20" spans="1:256" ht="15" customHeight="1" x14ac:dyDescent="0.2">
      <c r="A20" s="1" t="e">
        <f>AND(#REF!,"AAAAAHb1fQA=")</f>
        <v>#REF!</v>
      </c>
      <c r="B20" s="1" t="e">
        <f>AND(#REF!,"AAAAAHb1fQE=")</f>
        <v>#REF!</v>
      </c>
      <c r="C20" s="1" t="e">
        <f>AND(#REF!,"AAAAAHb1fQI=")</f>
        <v>#REF!</v>
      </c>
      <c r="D20" s="1" t="e">
        <f>AND(#REF!,"AAAAAHb1fQM=")</f>
        <v>#REF!</v>
      </c>
      <c r="E20" s="1" t="e">
        <f>AND(#REF!,"AAAAAHb1fQQ=")</f>
        <v>#REF!</v>
      </c>
      <c r="F20" s="1" t="e">
        <f>AND(#REF!,"AAAAAHb1fQU=")</f>
        <v>#REF!</v>
      </c>
      <c r="G20" s="1" t="e">
        <f>AND(#REF!,"AAAAAHb1fQY=")</f>
        <v>#REF!</v>
      </c>
      <c r="H20" s="1" t="e">
        <f>AND(#REF!,"AAAAAHb1fQc=")</f>
        <v>#REF!</v>
      </c>
      <c r="I20" s="1" t="e">
        <f>AND(#REF!,"AAAAAHb1fQg=")</f>
        <v>#REF!</v>
      </c>
      <c r="J20" s="1" t="e">
        <f>AND(#REF!,"AAAAAHb1fQk=")</f>
        <v>#REF!</v>
      </c>
      <c r="K20" s="1" t="e">
        <f>AND(#REF!,"AAAAAHb1fQo=")</f>
        <v>#REF!</v>
      </c>
      <c r="L20" s="1" t="e">
        <f>AND(#REF!,"AAAAAHb1fQs=")</f>
        <v>#REF!</v>
      </c>
      <c r="M20" s="1" t="e">
        <f>AND(#REF!,"AAAAAHb1fQw=")</f>
        <v>#REF!</v>
      </c>
      <c r="N20" s="1" t="e">
        <f>AND(#REF!,"AAAAAHb1fQ0=")</f>
        <v>#REF!</v>
      </c>
      <c r="O20" s="1" t="e">
        <f>AND(#REF!,"AAAAAHb1fQ4=")</f>
        <v>#REF!</v>
      </c>
      <c r="P20" s="1" t="e">
        <f>AND(#REF!,"AAAAAHb1fQ8=")</f>
        <v>#REF!</v>
      </c>
      <c r="Q20" s="1" t="e">
        <f>AND(#REF!,"AAAAAHb1fRA=")</f>
        <v>#REF!</v>
      </c>
      <c r="R20" s="1" t="e">
        <f>AND(#REF!,"AAAAAHb1fRE=")</f>
        <v>#REF!</v>
      </c>
      <c r="S20" s="1" t="e">
        <f>AND(#REF!,"AAAAAHb1fRI=")</f>
        <v>#REF!</v>
      </c>
      <c r="T20" s="1" t="e">
        <f>AND(#REF!,"AAAAAHb1fRM=")</f>
        <v>#REF!</v>
      </c>
      <c r="U20" s="1" t="e">
        <f>AND(#REF!,"AAAAAHb1fRQ=")</f>
        <v>#REF!</v>
      </c>
      <c r="V20" s="1" t="e">
        <f>AND(#REF!,"AAAAAHb1fRU=")</f>
        <v>#REF!</v>
      </c>
      <c r="W20" s="1" t="e">
        <f>AND(#REF!,"AAAAAHb1fRY=")</f>
        <v>#REF!</v>
      </c>
      <c r="X20" s="1" t="e">
        <f>AND(#REF!,"AAAAAHb1fRc=")</f>
        <v>#REF!</v>
      </c>
      <c r="Y20" s="1" t="e">
        <f>AND(#REF!,"AAAAAHb1fRg=")</f>
        <v>#REF!</v>
      </c>
      <c r="Z20" s="1" t="e">
        <f>AND(#REF!,"AAAAAHb1fRk=")</f>
        <v>#REF!</v>
      </c>
      <c r="AA20" s="1" t="e">
        <f>AND(#REF!,"AAAAAHb1fRo=")</f>
        <v>#REF!</v>
      </c>
      <c r="AB20" s="1" t="e">
        <f>AND(#REF!,"AAAAAHb1fRs=")</f>
        <v>#REF!</v>
      </c>
      <c r="AC20" s="1" t="e">
        <f>AND(#REF!,"AAAAAHb1fRw=")</f>
        <v>#REF!</v>
      </c>
      <c r="AD20" s="1" t="e">
        <f>AND(#REF!,"AAAAAHb1fR0=")</f>
        <v>#REF!</v>
      </c>
      <c r="AE20" s="1" t="e">
        <f>AND(#REF!,"AAAAAHb1fR4=")</f>
        <v>#REF!</v>
      </c>
      <c r="AF20" s="1" t="e">
        <f>IF(#REF!,"AAAAAHb1fR8=",0)</f>
        <v>#REF!</v>
      </c>
      <c r="AG20" s="1" t="e">
        <f>AND(#REF!,"AAAAAHb1fSA=")</f>
        <v>#REF!</v>
      </c>
      <c r="AH20" s="1" t="e">
        <f>AND(#REF!,"AAAAAHb1fSE=")</f>
        <v>#REF!</v>
      </c>
      <c r="AI20" s="1" t="e">
        <f>AND(#REF!,"AAAAAHb1fSI=")</f>
        <v>#REF!</v>
      </c>
      <c r="AJ20" s="1" t="e">
        <f>AND(#REF!,"AAAAAHb1fSM=")</f>
        <v>#REF!</v>
      </c>
      <c r="AK20" s="1" t="e">
        <f>AND(#REF!,"AAAAAHb1fSQ=")</f>
        <v>#REF!</v>
      </c>
      <c r="AL20" s="1" t="e">
        <f>AND(#REF!,"AAAAAHb1fSU=")</f>
        <v>#REF!</v>
      </c>
      <c r="AM20" s="1" t="e">
        <f>AND(#REF!,"AAAAAHb1fSY=")</f>
        <v>#REF!</v>
      </c>
      <c r="AN20" s="1" t="e">
        <f>AND(#REF!,"AAAAAHb1fSc=")</f>
        <v>#REF!</v>
      </c>
      <c r="AO20" s="1" t="e">
        <f>AND(#REF!,"AAAAAHb1fSg=")</f>
        <v>#REF!</v>
      </c>
      <c r="AP20" s="1" t="e">
        <f>AND(#REF!,"AAAAAHb1fSk=")</f>
        <v>#REF!</v>
      </c>
      <c r="AQ20" s="1" t="e">
        <f>AND(#REF!,"AAAAAHb1fSo=")</f>
        <v>#REF!</v>
      </c>
      <c r="AR20" s="1" t="e">
        <f>AND(#REF!,"AAAAAHb1fSs=")</f>
        <v>#REF!</v>
      </c>
      <c r="AS20" s="1" t="e">
        <f>AND(#REF!,"AAAAAHb1fSw=")</f>
        <v>#REF!</v>
      </c>
      <c r="AT20" s="1" t="e">
        <f>AND(#REF!,"AAAAAHb1fS0=")</f>
        <v>#REF!</v>
      </c>
      <c r="AU20" s="1" t="e">
        <f>AND(#REF!,"AAAAAHb1fS4=")</f>
        <v>#REF!</v>
      </c>
      <c r="AV20" s="1" t="e">
        <f>AND(#REF!,"AAAAAHb1fS8=")</f>
        <v>#REF!</v>
      </c>
      <c r="AW20" s="1" t="e">
        <f>AND(#REF!,"AAAAAHb1fTA=")</f>
        <v>#REF!</v>
      </c>
      <c r="AX20" s="1" t="e">
        <f>AND(#REF!,"AAAAAHb1fTE=")</f>
        <v>#REF!</v>
      </c>
      <c r="AY20" s="1" t="e">
        <f>AND(#REF!,"AAAAAHb1fTI=")</f>
        <v>#REF!</v>
      </c>
      <c r="AZ20" s="1" t="e">
        <f>AND(#REF!,"AAAAAHb1fTM=")</f>
        <v>#REF!</v>
      </c>
      <c r="BA20" s="1" t="e">
        <f>AND(#REF!,"AAAAAHb1fTQ=")</f>
        <v>#REF!</v>
      </c>
      <c r="BB20" s="1" t="e">
        <f>AND(#REF!,"AAAAAHb1fTU=")</f>
        <v>#REF!</v>
      </c>
      <c r="BC20" s="1" t="e">
        <f>AND(#REF!,"AAAAAHb1fTY=")</f>
        <v>#REF!</v>
      </c>
      <c r="BD20" s="1" t="e">
        <f>AND(#REF!,"AAAAAHb1fTc=")</f>
        <v>#REF!</v>
      </c>
      <c r="BE20" s="1" t="e">
        <f>AND(#REF!,"AAAAAHb1fTg=")</f>
        <v>#REF!</v>
      </c>
      <c r="BF20" s="1" t="e">
        <f>AND(#REF!,"AAAAAHb1fTk=")</f>
        <v>#REF!</v>
      </c>
      <c r="BG20" s="1" t="e">
        <f>AND(#REF!,"AAAAAHb1fTo=")</f>
        <v>#REF!</v>
      </c>
      <c r="BH20" s="1" t="e">
        <f>AND(#REF!,"AAAAAHb1fTs=")</f>
        <v>#REF!</v>
      </c>
      <c r="BI20" s="1" t="e">
        <f>AND(#REF!,"AAAAAHb1fTw=")</f>
        <v>#REF!</v>
      </c>
      <c r="BJ20" s="1" t="e">
        <f>AND(#REF!,"AAAAAHb1fT0=")</f>
        <v>#REF!</v>
      </c>
      <c r="BK20" s="1" t="e">
        <f>AND(#REF!,"AAAAAHb1fT4=")</f>
        <v>#REF!</v>
      </c>
      <c r="BL20" s="1" t="e">
        <f>AND(#REF!,"AAAAAHb1fT8=")</f>
        <v>#REF!</v>
      </c>
      <c r="BM20" s="1" t="e">
        <f>AND(#REF!,"AAAAAHb1fUA=")</f>
        <v>#REF!</v>
      </c>
      <c r="BN20" s="1" t="e">
        <f>AND(#REF!,"AAAAAHb1fUE=")</f>
        <v>#REF!</v>
      </c>
      <c r="BO20" s="1" t="e">
        <f>AND(#REF!,"AAAAAHb1fUI=")</f>
        <v>#REF!</v>
      </c>
      <c r="BP20" s="1" t="e">
        <f>AND(#REF!,"AAAAAHb1fUM=")</f>
        <v>#REF!</v>
      </c>
      <c r="BQ20" s="1" t="e">
        <f>AND(#REF!,"AAAAAHb1fUQ=")</f>
        <v>#REF!</v>
      </c>
      <c r="BR20" s="1" t="e">
        <f>AND(#REF!,"AAAAAHb1fUU=")</f>
        <v>#REF!</v>
      </c>
      <c r="BS20" s="1" t="e">
        <f>AND(#REF!,"AAAAAHb1fUY=")</f>
        <v>#REF!</v>
      </c>
      <c r="BT20" s="1" t="e">
        <f>AND(#REF!,"AAAAAHb1fUc=")</f>
        <v>#REF!</v>
      </c>
      <c r="BU20" s="1" t="e">
        <f>AND(#REF!,"AAAAAHb1fUg=")</f>
        <v>#REF!</v>
      </c>
      <c r="BV20" s="1" t="e">
        <f>AND(#REF!,"AAAAAHb1fUk=")</f>
        <v>#REF!</v>
      </c>
      <c r="BW20" s="1" t="e">
        <f>AND(#REF!,"AAAAAHb1fUo=")</f>
        <v>#REF!</v>
      </c>
      <c r="BX20" s="1" t="e">
        <f>AND(#REF!,"AAAAAHb1fUs=")</f>
        <v>#REF!</v>
      </c>
      <c r="BY20" s="1" t="e">
        <f>AND(#REF!,"AAAAAHb1fUw=")</f>
        <v>#REF!</v>
      </c>
      <c r="BZ20" s="1" t="e">
        <f>AND(#REF!,"AAAAAHb1fU0=")</f>
        <v>#REF!</v>
      </c>
      <c r="CA20" s="1" t="e">
        <f>AND(#REF!,"AAAAAHb1fU4=")</f>
        <v>#REF!</v>
      </c>
      <c r="CB20" s="1" t="e">
        <f>AND(#REF!,"AAAAAHb1fU8=")</f>
        <v>#REF!</v>
      </c>
      <c r="CC20" s="1" t="e">
        <f>AND(#REF!,"AAAAAHb1fVA=")</f>
        <v>#REF!</v>
      </c>
      <c r="CD20" s="1" t="e">
        <f>AND(#REF!,"AAAAAHb1fVE=")</f>
        <v>#REF!</v>
      </c>
      <c r="CE20" s="1" t="e">
        <f>AND(#REF!,"AAAAAHb1fVI=")</f>
        <v>#REF!</v>
      </c>
      <c r="CF20" s="1" t="e">
        <f>AND(#REF!,"AAAAAHb1fVM=")</f>
        <v>#REF!</v>
      </c>
      <c r="CG20" s="1" t="e">
        <f>AND(#REF!,"AAAAAHb1fVQ=")</f>
        <v>#REF!</v>
      </c>
      <c r="CH20" s="1" t="e">
        <f>AND(#REF!,"AAAAAHb1fVU=")</f>
        <v>#REF!</v>
      </c>
      <c r="CI20" s="1" t="e">
        <f>AND(#REF!,"AAAAAHb1fVY=")</f>
        <v>#REF!</v>
      </c>
      <c r="CJ20" s="1" t="e">
        <f>AND(#REF!,"AAAAAHb1fVc=")</f>
        <v>#REF!</v>
      </c>
      <c r="CK20" s="1" t="e">
        <f>AND(#REF!,"AAAAAHb1fVg=")</f>
        <v>#REF!</v>
      </c>
      <c r="CL20" s="1" t="e">
        <f>AND(#REF!,"AAAAAHb1fVk=")</f>
        <v>#REF!</v>
      </c>
      <c r="CM20" s="1" t="e">
        <f>AND(#REF!,"AAAAAHb1fVo=")</f>
        <v>#REF!</v>
      </c>
      <c r="CN20" s="1" t="e">
        <f>AND(#REF!,"AAAAAHb1fVs=")</f>
        <v>#REF!</v>
      </c>
      <c r="CO20" s="1" t="e">
        <f>AND(#REF!,"AAAAAHb1fVw=")</f>
        <v>#REF!</v>
      </c>
      <c r="CP20" s="1" t="e">
        <f>AND(#REF!,"AAAAAHb1fV0=")</f>
        <v>#REF!</v>
      </c>
      <c r="CQ20" s="1" t="e">
        <f>AND(#REF!,"AAAAAHb1fV4=")</f>
        <v>#REF!</v>
      </c>
      <c r="CR20" s="1" t="e">
        <f>AND(#REF!,"AAAAAHb1fV8=")</f>
        <v>#REF!</v>
      </c>
      <c r="CS20" s="1" t="e">
        <f>AND(#REF!,"AAAAAHb1fWA=")</f>
        <v>#REF!</v>
      </c>
      <c r="CT20" s="1" t="e">
        <f>AND(#REF!,"AAAAAHb1fWE=")</f>
        <v>#REF!</v>
      </c>
      <c r="CU20" s="1" t="e">
        <f>AND(#REF!,"AAAAAHb1fWI=")</f>
        <v>#REF!</v>
      </c>
      <c r="CV20" s="1" t="e">
        <f>AND(#REF!,"AAAAAHb1fWM=")</f>
        <v>#REF!</v>
      </c>
      <c r="CW20" s="1" t="e">
        <f>AND(#REF!,"AAAAAHb1fWQ=")</f>
        <v>#REF!</v>
      </c>
      <c r="CX20" s="1" t="e">
        <f>AND(#REF!,"AAAAAHb1fWU=")</f>
        <v>#REF!</v>
      </c>
      <c r="CY20" s="1" t="e">
        <f>AND(#REF!,"AAAAAHb1fWY=")</f>
        <v>#REF!</v>
      </c>
      <c r="CZ20" s="1" t="e">
        <f>AND(#REF!,"AAAAAHb1fWc=")</f>
        <v>#REF!</v>
      </c>
      <c r="DA20" s="1" t="e">
        <f>AND(#REF!,"AAAAAHb1fWg=")</f>
        <v>#REF!</v>
      </c>
      <c r="DB20" s="1" t="e">
        <f>AND(#REF!,"AAAAAHb1fWk=")</f>
        <v>#REF!</v>
      </c>
      <c r="DC20" s="1" t="e">
        <f>AND(#REF!,"AAAAAHb1fWo=")</f>
        <v>#REF!</v>
      </c>
      <c r="DD20" s="1" t="e">
        <f>AND(#REF!,"AAAAAHb1fWs=")</f>
        <v>#REF!</v>
      </c>
      <c r="DE20" s="1" t="e">
        <f>AND(#REF!,"AAAAAHb1fWw=")</f>
        <v>#REF!</v>
      </c>
      <c r="DF20" s="1" t="e">
        <f>AND(#REF!,"AAAAAHb1fW0=")</f>
        <v>#REF!</v>
      </c>
      <c r="DG20" s="1" t="e">
        <f>AND(#REF!,"AAAAAHb1fW4=")</f>
        <v>#REF!</v>
      </c>
      <c r="DH20" s="1" t="e">
        <f>AND(#REF!,"AAAAAHb1fW8=")</f>
        <v>#REF!</v>
      </c>
      <c r="DI20" s="1" t="e">
        <f>AND(#REF!,"AAAAAHb1fXA=")</f>
        <v>#REF!</v>
      </c>
      <c r="DJ20" s="1" t="e">
        <f>AND(#REF!,"AAAAAHb1fXE=")</f>
        <v>#REF!</v>
      </c>
      <c r="DK20" s="1" t="e">
        <f>AND(#REF!,"AAAAAHb1fXI=")</f>
        <v>#REF!</v>
      </c>
      <c r="DL20" s="1" t="e">
        <f>AND(#REF!,"AAAAAHb1fXM=")</f>
        <v>#REF!</v>
      </c>
      <c r="DM20" s="1" t="e">
        <f>AND(#REF!,"AAAAAHb1fXQ=")</f>
        <v>#REF!</v>
      </c>
      <c r="DN20" s="1" t="e">
        <f>AND(#REF!,"AAAAAHb1fXU=")</f>
        <v>#REF!</v>
      </c>
      <c r="DO20" s="1" t="e">
        <f>AND(#REF!,"AAAAAHb1fXY=")</f>
        <v>#REF!</v>
      </c>
      <c r="DP20" s="1" t="e">
        <f>AND(#REF!,"AAAAAHb1fXc=")</f>
        <v>#REF!</v>
      </c>
      <c r="DQ20" s="1" t="e">
        <f>AND(#REF!,"AAAAAHb1fXg=")</f>
        <v>#REF!</v>
      </c>
      <c r="DR20" s="1" t="e">
        <f>AND(#REF!,"AAAAAHb1fXk=")</f>
        <v>#REF!</v>
      </c>
      <c r="DS20" s="1" t="e">
        <f>AND(#REF!,"AAAAAHb1fXo=")</f>
        <v>#REF!</v>
      </c>
      <c r="DT20" s="1" t="e">
        <f>AND(#REF!,"AAAAAHb1fXs=")</f>
        <v>#REF!</v>
      </c>
      <c r="DU20" s="1" t="e">
        <f>AND(#REF!,"AAAAAHb1fXw=")</f>
        <v>#REF!</v>
      </c>
      <c r="DV20" s="1" t="e">
        <f>AND(#REF!,"AAAAAHb1fX0=")</f>
        <v>#REF!</v>
      </c>
      <c r="DW20" s="1" t="e">
        <f>AND(#REF!,"AAAAAHb1fX4=")</f>
        <v>#REF!</v>
      </c>
      <c r="DX20" s="1" t="e">
        <f>AND(#REF!,"AAAAAHb1fX8=")</f>
        <v>#REF!</v>
      </c>
      <c r="DY20" s="1" t="e">
        <f>AND(#REF!,"AAAAAHb1fYA=")</f>
        <v>#REF!</v>
      </c>
      <c r="DZ20" s="1" t="e">
        <f>AND(#REF!,"AAAAAHb1fYE=")</f>
        <v>#REF!</v>
      </c>
      <c r="EA20" s="1" t="e">
        <f>AND(#REF!,"AAAAAHb1fYI=")</f>
        <v>#REF!</v>
      </c>
      <c r="EB20" s="1" t="e">
        <f>AND(#REF!,"AAAAAHb1fYM=")</f>
        <v>#REF!</v>
      </c>
      <c r="EC20" s="1" t="e">
        <f>AND(#REF!,"AAAAAHb1fYQ=")</f>
        <v>#REF!</v>
      </c>
      <c r="ED20" s="1" t="e">
        <f>AND(#REF!,"AAAAAHb1fYU=")</f>
        <v>#REF!</v>
      </c>
      <c r="EE20" s="1" t="e">
        <f>IF(#REF!,"AAAAAHb1fYY=",0)</f>
        <v>#REF!</v>
      </c>
      <c r="EF20" s="1" t="e">
        <f>AND(#REF!,"AAAAAHb1fYc=")</f>
        <v>#REF!</v>
      </c>
      <c r="EG20" s="1" t="e">
        <f>AND(#REF!,"AAAAAHb1fYg=")</f>
        <v>#REF!</v>
      </c>
      <c r="EH20" s="1" t="e">
        <f>AND(#REF!,"AAAAAHb1fYk=")</f>
        <v>#REF!</v>
      </c>
      <c r="EI20" s="1" t="e">
        <f>AND(#REF!,"AAAAAHb1fYo=")</f>
        <v>#REF!</v>
      </c>
      <c r="EJ20" s="1" t="e">
        <f>AND(#REF!,"AAAAAHb1fYs=")</f>
        <v>#REF!</v>
      </c>
      <c r="EK20" s="1" t="e">
        <f>AND(#REF!,"AAAAAHb1fYw=")</f>
        <v>#REF!</v>
      </c>
      <c r="EL20" s="1" t="e">
        <f>AND(#REF!,"AAAAAHb1fY0=")</f>
        <v>#REF!</v>
      </c>
      <c r="EM20" s="1" t="e">
        <f>AND(#REF!,"AAAAAHb1fY4=")</f>
        <v>#REF!</v>
      </c>
      <c r="EN20" s="1" t="e">
        <f>AND(#REF!,"AAAAAHb1fY8=")</f>
        <v>#REF!</v>
      </c>
      <c r="EO20" s="1" t="e">
        <f>AND(#REF!,"AAAAAHb1fZA=")</f>
        <v>#REF!</v>
      </c>
      <c r="EP20" s="1" t="e">
        <f>AND(#REF!,"AAAAAHb1fZE=")</f>
        <v>#REF!</v>
      </c>
      <c r="EQ20" s="1" t="e">
        <f>AND(#REF!,"AAAAAHb1fZI=")</f>
        <v>#REF!</v>
      </c>
      <c r="ER20" s="1" t="e">
        <f>AND(#REF!,"AAAAAHb1fZM=")</f>
        <v>#REF!</v>
      </c>
      <c r="ES20" s="1" t="e">
        <f>AND(#REF!,"AAAAAHb1fZQ=")</f>
        <v>#REF!</v>
      </c>
      <c r="ET20" s="1" t="e">
        <f>AND(#REF!,"AAAAAHb1fZU=")</f>
        <v>#REF!</v>
      </c>
      <c r="EU20" s="1" t="e">
        <f>AND(#REF!,"AAAAAHb1fZY=")</f>
        <v>#REF!</v>
      </c>
      <c r="EV20" s="1" t="e">
        <f>AND(#REF!,"AAAAAHb1fZc=")</f>
        <v>#REF!</v>
      </c>
      <c r="EW20" s="1" t="e">
        <f>AND(#REF!,"AAAAAHb1fZg=")</f>
        <v>#REF!</v>
      </c>
      <c r="EX20" s="1" t="e">
        <f>AND(#REF!,"AAAAAHb1fZk=")</f>
        <v>#REF!</v>
      </c>
      <c r="EY20" s="1" t="e">
        <f>AND(#REF!,"AAAAAHb1fZo=")</f>
        <v>#REF!</v>
      </c>
      <c r="EZ20" s="1" t="e">
        <f>AND(#REF!,"AAAAAHb1fZs=")</f>
        <v>#REF!</v>
      </c>
      <c r="FA20" s="1" t="e">
        <f>AND(#REF!,"AAAAAHb1fZw=")</f>
        <v>#REF!</v>
      </c>
      <c r="FB20" s="1" t="e">
        <f>AND(#REF!,"AAAAAHb1fZ0=")</f>
        <v>#REF!</v>
      </c>
      <c r="FC20" s="1" t="e">
        <f>AND(#REF!,"AAAAAHb1fZ4=")</f>
        <v>#REF!</v>
      </c>
      <c r="FD20" s="1" t="e">
        <f>AND(#REF!,"AAAAAHb1fZ8=")</f>
        <v>#REF!</v>
      </c>
      <c r="FE20" s="1" t="e">
        <f>AND(#REF!,"AAAAAHb1faA=")</f>
        <v>#REF!</v>
      </c>
      <c r="FF20" s="1" t="e">
        <f>AND(#REF!,"AAAAAHb1faE=")</f>
        <v>#REF!</v>
      </c>
      <c r="FG20" s="1" t="e">
        <f>AND(#REF!,"AAAAAHb1faI=")</f>
        <v>#REF!</v>
      </c>
      <c r="FH20" s="1" t="e">
        <f>AND(#REF!,"AAAAAHb1faM=")</f>
        <v>#REF!</v>
      </c>
      <c r="FI20" s="1" t="e">
        <f>AND(#REF!,"AAAAAHb1faQ=")</f>
        <v>#REF!</v>
      </c>
      <c r="FJ20" s="1" t="e">
        <f>AND(#REF!,"AAAAAHb1faU=")</f>
        <v>#REF!</v>
      </c>
      <c r="FK20" s="1" t="e">
        <f>AND(#REF!,"AAAAAHb1faY=")</f>
        <v>#REF!</v>
      </c>
      <c r="FL20" s="1" t="e">
        <f>AND(#REF!,"AAAAAHb1fac=")</f>
        <v>#REF!</v>
      </c>
      <c r="FM20" s="1" t="e">
        <f>AND(#REF!,"AAAAAHb1fag=")</f>
        <v>#REF!</v>
      </c>
      <c r="FN20" s="1" t="e">
        <f>AND(#REF!,"AAAAAHb1fak=")</f>
        <v>#REF!</v>
      </c>
      <c r="FO20" s="1" t="e">
        <f>AND(#REF!,"AAAAAHb1fao=")</f>
        <v>#REF!</v>
      </c>
      <c r="FP20" s="1" t="e">
        <f>AND(#REF!,"AAAAAHb1fas=")</f>
        <v>#REF!</v>
      </c>
      <c r="FQ20" s="1" t="e">
        <f>AND(#REF!,"AAAAAHb1faw=")</f>
        <v>#REF!</v>
      </c>
      <c r="FR20" s="1" t="e">
        <f>AND(#REF!,"AAAAAHb1fa0=")</f>
        <v>#REF!</v>
      </c>
      <c r="FS20" s="1" t="e">
        <f>AND(#REF!,"AAAAAHb1fa4=")</f>
        <v>#REF!</v>
      </c>
      <c r="FT20" s="1" t="e">
        <f>AND(#REF!,"AAAAAHb1fa8=")</f>
        <v>#REF!</v>
      </c>
      <c r="FU20" s="1" t="e">
        <f>AND(#REF!,"AAAAAHb1fbA=")</f>
        <v>#REF!</v>
      </c>
      <c r="FV20" s="1" t="e">
        <f>AND(#REF!,"AAAAAHb1fbE=")</f>
        <v>#REF!</v>
      </c>
      <c r="FW20" s="1" t="e">
        <f>AND(#REF!,"AAAAAHb1fbI=")</f>
        <v>#REF!</v>
      </c>
      <c r="FX20" s="1" t="e">
        <f>AND(#REF!,"AAAAAHb1fbM=")</f>
        <v>#REF!</v>
      </c>
      <c r="FY20" s="1" t="e">
        <f>AND(#REF!,"AAAAAHb1fbQ=")</f>
        <v>#REF!</v>
      </c>
      <c r="FZ20" s="1" t="e">
        <f>AND(#REF!,"AAAAAHb1fbU=")</f>
        <v>#REF!</v>
      </c>
      <c r="GA20" s="1" t="e">
        <f>AND(#REF!,"AAAAAHb1fbY=")</f>
        <v>#REF!</v>
      </c>
      <c r="GB20" s="1" t="e">
        <f>AND(#REF!,"AAAAAHb1fbc=")</f>
        <v>#REF!</v>
      </c>
      <c r="GC20" s="1" t="e">
        <f>AND(#REF!,"AAAAAHb1fbg=")</f>
        <v>#REF!</v>
      </c>
      <c r="GD20" s="1" t="e">
        <f>AND(#REF!,"AAAAAHb1fbk=")</f>
        <v>#REF!</v>
      </c>
      <c r="GE20" s="1" t="e">
        <f>AND(#REF!,"AAAAAHb1fbo=")</f>
        <v>#REF!</v>
      </c>
      <c r="GF20" s="1" t="e">
        <f>AND(#REF!,"AAAAAHb1fbs=")</f>
        <v>#REF!</v>
      </c>
      <c r="GG20" s="1" t="e">
        <f>AND(#REF!,"AAAAAHb1fbw=")</f>
        <v>#REF!</v>
      </c>
      <c r="GH20" s="1" t="e">
        <f>AND(#REF!,"AAAAAHb1fb0=")</f>
        <v>#REF!</v>
      </c>
      <c r="GI20" s="1" t="e">
        <f>AND(#REF!,"AAAAAHb1fb4=")</f>
        <v>#REF!</v>
      </c>
      <c r="GJ20" s="1" t="e">
        <f>AND(#REF!,"AAAAAHb1fb8=")</f>
        <v>#REF!</v>
      </c>
      <c r="GK20" s="1" t="e">
        <f>AND(#REF!,"AAAAAHb1fcA=")</f>
        <v>#REF!</v>
      </c>
      <c r="GL20" s="1" t="e">
        <f>AND(#REF!,"AAAAAHb1fcE=")</f>
        <v>#REF!</v>
      </c>
      <c r="GM20" s="1" t="e">
        <f>AND(#REF!,"AAAAAHb1fcI=")</f>
        <v>#REF!</v>
      </c>
      <c r="GN20" s="1" t="e">
        <f>AND(#REF!,"AAAAAHb1fcM=")</f>
        <v>#REF!</v>
      </c>
      <c r="GO20" s="1" t="e">
        <f>AND(#REF!,"AAAAAHb1fcQ=")</f>
        <v>#REF!</v>
      </c>
      <c r="GP20" s="1" t="e">
        <f>AND(#REF!,"AAAAAHb1fcU=")</f>
        <v>#REF!</v>
      </c>
      <c r="GQ20" s="1" t="e">
        <f>AND(#REF!,"AAAAAHb1fcY=")</f>
        <v>#REF!</v>
      </c>
      <c r="GR20" s="1" t="e">
        <f>AND(#REF!,"AAAAAHb1fcc=")</f>
        <v>#REF!</v>
      </c>
      <c r="GS20" s="1" t="e">
        <f>AND(#REF!,"AAAAAHb1fcg=")</f>
        <v>#REF!</v>
      </c>
      <c r="GT20" s="1" t="e">
        <f>AND(#REF!,"AAAAAHb1fck=")</f>
        <v>#REF!</v>
      </c>
      <c r="GU20" s="1" t="e">
        <f>AND(#REF!,"AAAAAHb1fco=")</f>
        <v>#REF!</v>
      </c>
      <c r="GV20" s="1" t="e">
        <f>AND(#REF!,"AAAAAHb1fcs=")</f>
        <v>#REF!</v>
      </c>
      <c r="GW20" s="1" t="e">
        <f>AND(#REF!,"AAAAAHb1fcw=")</f>
        <v>#REF!</v>
      </c>
      <c r="GX20" s="1" t="e">
        <f>AND(#REF!,"AAAAAHb1fc0=")</f>
        <v>#REF!</v>
      </c>
      <c r="GY20" s="1" t="e">
        <f>AND(#REF!,"AAAAAHb1fc4=")</f>
        <v>#REF!</v>
      </c>
      <c r="GZ20" s="1" t="e">
        <f>AND(#REF!,"AAAAAHb1fc8=")</f>
        <v>#REF!</v>
      </c>
      <c r="HA20" s="1" t="e">
        <f>AND(#REF!,"AAAAAHb1fdA=")</f>
        <v>#REF!</v>
      </c>
      <c r="HB20" s="1" t="e">
        <f>AND(#REF!,"AAAAAHb1fdE=")</f>
        <v>#REF!</v>
      </c>
      <c r="HC20" s="1" t="e">
        <f>AND(#REF!,"AAAAAHb1fdI=")</f>
        <v>#REF!</v>
      </c>
      <c r="HD20" s="1" t="e">
        <f>AND(#REF!,"AAAAAHb1fdM=")</f>
        <v>#REF!</v>
      </c>
      <c r="HE20" s="1" t="e">
        <f>AND(#REF!,"AAAAAHb1fdQ=")</f>
        <v>#REF!</v>
      </c>
      <c r="HF20" s="1" t="e">
        <f>AND(#REF!,"AAAAAHb1fdU=")</f>
        <v>#REF!</v>
      </c>
      <c r="HG20" s="1" t="e">
        <f>AND(#REF!,"AAAAAHb1fdY=")</f>
        <v>#REF!</v>
      </c>
      <c r="HH20" s="1" t="e">
        <f>AND(#REF!,"AAAAAHb1fdc=")</f>
        <v>#REF!</v>
      </c>
      <c r="HI20" s="1" t="e">
        <f>AND(#REF!,"AAAAAHb1fdg=")</f>
        <v>#REF!</v>
      </c>
      <c r="HJ20" s="1" t="e">
        <f>AND(#REF!,"AAAAAHb1fdk=")</f>
        <v>#REF!</v>
      </c>
      <c r="HK20" s="1" t="e">
        <f>AND(#REF!,"AAAAAHb1fdo=")</f>
        <v>#REF!</v>
      </c>
      <c r="HL20" s="1" t="e">
        <f>AND(#REF!,"AAAAAHb1fds=")</f>
        <v>#REF!</v>
      </c>
      <c r="HM20" s="1" t="e">
        <f>AND(#REF!,"AAAAAHb1fdw=")</f>
        <v>#REF!</v>
      </c>
      <c r="HN20" s="1" t="e">
        <f>AND(#REF!,"AAAAAHb1fd0=")</f>
        <v>#REF!</v>
      </c>
      <c r="HO20" s="1" t="e">
        <f>AND(#REF!,"AAAAAHb1fd4=")</f>
        <v>#REF!</v>
      </c>
      <c r="HP20" s="1" t="e">
        <f>AND(#REF!,"AAAAAHb1fd8=")</f>
        <v>#REF!</v>
      </c>
      <c r="HQ20" s="1" t="e">
        <f>AND(#REF!,"AAAAAHb1feA=")</f>
        <v>#REF!</v>
      </c>
      <c r="HR20" s="1" t="e">
        <f>AND(#REF!,"AAAAAHb1feE=")</f>
        <v>#REF!</v>
      </c>
      <c r="HS20" s="1" t="e">
        <f>AND(#REF!,"AAAAAHb1feI=")</f>
        <v>#REF!</v>
      </c>
      <c r="HT20" s="1" t="e">
        <f>AND(#REF!,"AAAAAHb1feM=")</f>
        <v>#REF!</v>
      </c>
      <c r="HU20" s="1" t="e">
        <f>AND(#REF!,"AAAAAHb1feQ=")</f>
        <v>#REF!</v>
      </c>
      <c r="HV20" s="1" t="e">
        <f>AND(#REF!,"AAAAAHb1feU=")</f>
        <v>#REF!</v>
      </c>
      <c r="HW20" s="1" t="e">
        <f>AND(#REF!,"AAAAAHb1feY=")</f>
        <v>#REF!</v>
      </c>
      <c r="HX20" s="1" t="e">
        <f>AND(#REF!,"AAAAAHb1fec=")</f>
        <v>#REF!</v>
      </c>
      <c r="HY20" s="1" t="e">
        <f>AND(#REF!,"AAAAAHb1feg=")</f>
        <v>#REF!</v>
      </c>
      <c r="HZ20" s="1" t="e">
        <f>AND(#REF!,"AAAAAHb1fek=")</f>
        <v>#REF!</v>
      </c>
      <c r="IA20" s="1" t="e">
        <f>AND(#REF!,"AAAAAHb1feo=")</f>
        <v>#REF!</v>
      </c>
      <c r="IB20" s="1" t="e">
        <f>AND(#REF!,"AAAAAHb1fes=")</f>
        <v>#REF!</v>
      </c>
      <c r="IC20" s="1" t="e">
        <f>AND(#REF!,"AAAAAHb1few=")</f>
        <v>#REF!</v>
      </c>
      <c r="ID20" s="1" t="e">
        <f>IF(#REF!,"AAAAAHb1fe0=",0)</f>
        <v>#REF!</v>
      </c>
      <c r="IE20" s="1" t="e">
        <f>AND(#REF!,"AAAAAHb1fe4=")</f>
        <v>#REF!</v>
      </c>
      <c r="IF20" s="1" t="e">
        <f>AND(#REF!,"AAAAAHb1fe8=")</f>
        <v>#REF!</v>
      </c>
      <c r="IG20" s="1" t="e">
        <f>AND(#REF!,"AAAAAHb1ffA=")</f>
        <v>#REF!</v>
      </c>
      <c r="IH20" s="1" t="e">
        <f>AND(#REF!,"AAAAAHb1ffE=")</f>
        <v>#REF!</v>
      </c>
      <c r="II20" s="1" t="e">
        <f>AND(#REF!,"AAAAAHb1ffI=")</f>
        <v>#REF!</v>
      </c>
      <c r="IJ20" s="1" t="e">
        <f>AND(#REF!,"AAAAAHb1ffM=")</f>
        <v>#REF!</v>
      </c>
      <c r="IK20" s="1" t="e">
        <f>AND(#REF!,"AAAAAHb1ffQ=")</f>
        <v>#REF!</v>
      </c>
      <c r="IL20" s="1" t="e">
        <f>AND(#REF!,"AAAAAHb1ffU=")</f>
        <v>#REF!</v>
      </c>
      <c r="IM20" s="1" t="e">
        <f>AND(#REF!,"AAAAAHb1ffY=")</f>
        <v>#REF!</v>
      </c>
      <c r="IN20" s="1" t="e">
        <f>AND(#REF!,"AAAAAHb1ffc=")</f>
        <v>#REF!</v>
      </c>
      <c r="IO20" s="1" t="e">
        <f>AND(#REF!,"AAAAAHb1ffg=")</f>
        <v>#REF!</v>
      </c>
      <c r="IP20" s="1" t="e">
        <f>AND(#REF!,"AAAAAHb1ffk=")</f>
        <v>#REF!</v>
      </c>
      <c r="IQ20" s="1" t="e">
        <f>AND(#REF!,"AAAAAHb1ffo=")</f>
        <v>#REF!</v>
      </c>
      <c r="IR20" s="1" t="e">
        <f>AND(#REF!,"AAAAAHb1ffs=")</f>
        <v>#REF!</v>
      </c>
      <c r="IS20" s="1" t="e">
        <f>AND(#REF!,"AAAAAHb1ffw=")</f>
        <v>#REF!</v>
      </c>
      <c r="IT20" s="1" t="e">
        <f>AND(#REF!,"AAAAAHb1ff0=")</f>
        <v>#REF!</v>
      </c>
      <c r="IU20" s="1" t="e">
        <f>AND(#REF!,"AAAAAHb1ff4=")</f>
        <v>#REF!</v>
      </c>
      <c r="IV20" s="1" t="e">
        <f>AND(#REF!,"AAAAAHb1ff8=")</f>
        <v>#REF!</v>
      </c>
    </row>
    <row r="21" spans="1:256" ht="15" customHeight="1" x14ac:dyDescent="0.2">
      <c r="A21" s="1" t="e">
        <f>AND(#REF!,"AAAAAH5vfwA=")</f>
        <v>#REF!</v>
      </c>
      <c r="B21" s="1" t="e">
        <f>AND(#REF!,"AAAAAH5vfwE=")</f>
        <v>#REF!</v>
      </c>
      <c r="C21" s="1" t="e">
        <f>AND(#REF!,"AAAAAH5vfwI=")</f>
        <v>#REF!</v>
      </c>
      <c r="D21" s="1" t="e">
        <f>AND(#REF!,"AAAAAH5vfwM=")</f>
        <v>#REF!</v>
      </c>
      <c r="E21" s="1" t="e">
        <f>AND(#REF!,"AAAAAH5vfwQ=")</f>
        <v>#REF!</v>
      </c>
      <c r="F21" s="1" t="e">
        <f>AND(#REF!,"AAAAAH5vfwU=")</f>
        <v>#REF!</v>
      </c>
      <c r="G21" s="1" t="e">
        <f>AND(#REF!,"AAAAAH5vfwY=")</f>
        <v>#REF!</v>
      </c>
      <c r="H21" s="1" t="e">
        <f>AND(#REF!,"AAAAAH5vfwc=")</f>
        <v>#REF!</v>
      </c>
      <c r="I21" s="1" t="e">
        <f>AND(#REF!,"AAAAAH5vfwg=")</f>
        <v>#REF!</v>
      </c>
      <c r="J21" s="1" t="e">
        <f>AND(#REF!,"AAAAAH5vfwk=")</f>
        <v>#REF!</v>
      </c>
      <c r="K21" s="1" t="e">
        <f>AND(#REF!,"AAAAAH5vfwo=")</f>
        <v>#REF!</v>
      </c>
      <c r="L21" s="1" t="e">
        <f>AND(#REF!,"AAAAAH5vfws=")</f>
        <v>#REF!</v>
      </c>
      <c r="M21" s="1" t="e">
        <f>AND(#REF!,"AAAAAH5vfww=")</f>
        <v>#REF!</v>
      </c>
      <c r="N21" s="1" t="e">
        <f>AND(#REF!,"AAAAAH5vfw0=")</f>
        <v>#REF!</v>
      </c>
      <c r="O21" s="1" t="e">
        <f>AND(#REF!,"AAAAAH5vfw4=")</f>
        <v>#REF!</v>
      </c>
      <c r="P21" s="1" t="e">
        <f>AND(#REF!,"AAAAAH5vfw8=")</f>
        <v>#REF!</v>
      </c>
      <c r="Q21" s="1" t="e">
        <f>AND(#REF!,"AAAAAH5vfxA=")</f>
        <v>#REF!</v>
      </c>
      <c r="R21" s="1" t="e">
        <f>AND(#REF!,"AAAAAH5vfxE=")</f>
        <v>#REF!</v>
      </c>
      <c r="S21" s="1" t="e">
        <f>AND(#REF!,"AAAAAH5vfxI=")</f>
        <v>#REF!</v>
      </c>
      <c r="T21" s="1" t="e">
        <f>AND(#REF!,"AAAAAH5vfxM=")</f>
        <v>#REF!</v>
      </c>
      <c r="U21" s="1" t="e">
        <f>AND(#REF!,"AAAAAH5vfxQ=")</f>
        <v>#REF!</v>
      </c>
      <c r="V21" s="1" t="e">
        <f>AND(#REF!,"AAAAAH5vfxU=")</f>
        <v>#REF!</v>
      </c>
      <c r="W21" s="1" t="e">
        <f>AND(#REF!,"AAAAAH5vfxY=")</f>
        <v>#REF!</v>
      </c>
      <c r="X21" s="1" t="e">
        <f>AND(#REF!,"AAAAAH5vfxc=")</f>
        <v>#REF!</v>
      </c>
      <c r="Y21" s="1" t="e">
        <f>AND(#REF!,"AAAAAH5vfxg=")</f>
        <v>#REF!</v>
      </c>
      <c r="Z21" s="1" t="e">
        <f>AND(#REF!,"AAAAAH5vfxk=")</f>
        <v>#REF!</v>
      </c>
      <c r="AA21" s="1" t="e">
        <f>AND(#REF!,"AAAAAH5vfxo=")</f>
        <v>#REF!</v>
      </c>
      <c r="AB21" s="1" t="e">
        <f>AND(#REF!,"AAAAAH5vfxs=")</f>
        <v>#REF!</v>
      </c>
      <c r="AC21" s="1" t="e">
        <f>AND(#REF!,"AAAAAH5vfxw=")</f>
        <v>#REF!</v>
      </c>
      <c r="AD21" s="1" t="e">
        <f>AND(#REF!,"AAAAAH5vfx0=")</f>
        <v>#REF!</v>
      </c>
      <c r="AE21" s="1" t="e">
        <f>AND(#REF!,"AAAAAH5vfx4=")</f>
        <v>#REF!</v>
      </c>
      <c r="AF21" s="1" t="e">
        <f>AND(#REF!,"AAAAAH5vfx8=")</f>
        <v>#REF!</v>
      </c>
      <c r="AG21" s="1" t="e">
        <f>AND(#REF!,"AAAAAH5vfyA=")</f>
        <v>#REF!</v>
      </c>
      <c r="AH21" s="1" t="e">
        <f>AND(#REF!,"AAAAAH5vfyE=")</f>
        <v>#REF!</v>
      </c>
      <c r="AI21" s="1" t="e">
        <f>AND(#REF!,"AAAAAH5vfyI=")</f>
        <v>#REF!</v>
      </c>
      <c r="AJ21" s="1" t="e">
        <f>AND(#REF!,"AAAAAH5vfyM=")</f>
        <v>#REF!</v>
      </c>
      <c r="AK21" s="1" t="e">
        <f>AND(#REF!,"AAAAAH5vfyQ=")</f>
        <v>#REF!</v>
      </c>
      <c r="AL21" s="1" t="e">
        <f>AND(#REF!,"AAAAAH5vfyU=")</f>
        <v>#REF!</v>
      </c>
      <c r="AM21" s="1" t="e">
        <f>AND(#REF!,"AAAAAH5vfyY=")</f>
        <v>#REF!</v>
      </c>
      <c r="AN21" s="1" t="e">
        <f>AND(#REF!,"AAAAAH5vfyc=")</f>
        <v>#REF!</v>
      </c>
      <c r="AO21" s="1" t="e">
        <f>AND(#REF!,"AAAAAH5vfyg=")</f>
        <v>#REF!</v>
      </c>
      <c r="AP21" s="1" t="e">
        <f>AND(#REF!,"AAAAAH5vfyk=")</f>
        <v>#REF!</v>
      </c>
      <c r="AQ21" s="1" t="e">
        <f>AND(#REF!,"AAAAAH5vfyo=")</f>
        <v>#REF!</v>
      </c>
      <c r="AR21" s="1" t="e">
        <f>AND(#REF!,"AAAAAH5vfys=")</f>
        <v>#REF!</v>
      </c>
      <c r="AS21" s="1" t="e">
        <f>AND(#REF!,"AAAAAH5vfyw=")</f>
        <v>#REF!</v>
      </c>
      <c r="AT21" s="1" t="e">
        <f>AND(#REF!,"AAAAAH5vfy0=")</f>
        <v>#REF!</v>
      </c>
      <c r="AU21" s="1" t="e">
        <f>AND(#REF!,"AAAAAH5vfy4=")</f>
        <v>#REF!</v>
      </c>
      <c r="AV21" s="1" t="e">
        <f>AND(#REF!,"AAAAAH5vfy8=")</f>
        <v>#REF!</v>
      </c>
      <c r="AW21" s="1" t="e">
        <f>AND(#REF!,"AAAAAH5vfzA=")</f>
        <v>#REF!</v>
      </c>
      <c r="AX21" s="1" t="e">
        <f>AND(#REF!,"AAAAAH5vfzE=")</f>
        <v>#REF!</v>
      </c>
      <c r="AY21" s="1" t="e">
        <f>AND(#REF!,"AAAAAH5vfzI=")</f>
        <v>#REF!</v>
      </c>
      <c r="AZ21" s="1" t="e">
        <f>AND(#REF!,"AAAAAH5vfzM=")</f>
        <v>#REF!</v>
      </c>
      <c r="BA21" s="1" t="e">
        <f>AND(#REF!,"AAAAAH5vfzQ=")</f>
        <v>#REF!</v>
      </c>
      <c r="BB21" s="1" t="e">
        <f>AND(#REF!,"AAAAAH5vfzU=")</f>
        <v>#REF!</v>
      </c>
      <c r="BC21" s="1" t="e">
        <f>AND(#REF!,"AAAAAH5vfzY=")</f>
        <v>#REF!</v>
      </c>
      <c r="BD21" s="1" t="e">
        <f>AND(#REF!,"AAAAAH5vfzc=")</f>
        <v>#REF!</v>
      </c>
      <c r="BE21" s="1" t="e">
        <f>AND(#REF!,"AAAAAH5vfzg=")</f>
        <v>#REF!</v>
      </c>
      <c r="BF21" s="1" t="e">
        <f>AND(#REF!,"AAAAAH5vfzk=")</f>
        <v>#REF!</v>
      </c>
      <c r="BG21" s="1" t="e">
        <f>AND(#REF!,"AAAAAH5vfzo=")</f>
        <v>#REF!</v>
      </c>
      <c r="BH21" s="1" t="e">
        <f>AND(#REF!,"AAAAAH5vfzs=")</f>
        <v>#REF!</v>
      </c>
      <c r="BI21" s="1" t="e">
        <f>AND(#REF!,"AAAAAH5vfzw=")</f>
        <v>#REF!</v>
      </c>
      <c r="BJ21" s="1" t="e">
        <f>AND(#REF!,"AAAAAH5vfz0=")</f>
        <v>#REF!</v>
      </c>
      <c r="BK21" s="1" t="e">
        <f>AND(#REF!,"AAAAAH5vfz4=")</f>
        <v>#REF!</v>
      </c>
      <c r="BL21" s="1" t="e">
        <f>AND(#REF!,"AAAAAH5vfz8=")</f>
        <v>#REF!</v>
      </c>
      <c r="BM21" s="1" t="e">
        <f>AND(#REF!,"AAAAAH5vf0A=")</f>
        <v>#REF!</v>
      </c>
      <c r="BN21" s="1" t="e">
        <f>AND(#REF!,"AAAAAH5vf0E=")</f>
        <v>#REF!</v>
      </c>
      <c r="BO21" s="1" t="e">
        <f>AND(#REF!,"AAAAAH5vf0I=")</f>
        <v>#REF!</v>
      </c>
      <c r="BP21" s="1" t="e">
        <f>AND(#REF!,"AAAAAH5vf0M=")</f>
        <v>#REF!</v>
      </c>
      <c r="BQ21" s="1" t="e">
        <f>AND(#REF!,"AAAAAH5vf0Q=")</f>
        <v>#REF!</v>
      </c>
      <c r="BR21" s="1" t="e">
        <f>AND(#REF!,"AAAAAH5vf0U=")</f>
        <v>#REF!</v>
      </c>
      <c r="BS21" s="1" t="e">
        <f>AND(#REF!,"AAAAAH5vf0Y=")</f>
        <v>#REF!</v>
      </c>
      <c r="BT21" s="1" t="e">
        <f>AND(#REF!,"AAAAAH5vf0c=")</f>
        <v>#REF!</v>
      </c>
      <c r="BU21" s="1" t="e">
        <f>AND(#REF!,"AAAAAH5vf0g=")</f>
        <v>#REF!</v>
      </c>
      <c r="BV21" s="1" t="e">
        <f>AND(#REF!,"AAAAAH5vf0k=")</f>
        <v>#REF!</v>
      </c>
      <c r="BW21" s="1" t="e">
        <f>AND(#REF!,"AAAAAH5vf0o=")</f>
        <v>#REF!</v>
      </c>
      <c r="BX21" s="1" t="e">
        <f>AND(#REF!,"AAAAAH5vf0s=")</f>
        <v>#REF!</v>
      </c>
      <c r="BY21" s="1" t="e">
        <f>AND(#REF!,"AAAAAH5vf0w=")</f>
        <v>#REF!</v>
      </c>
      <c r="BZ21" s="1" t="e">
        <f>AND(#REF!,"AAAAAH5vf00=")</f>
        <v>#REF!</v>
      </c>
      <c r="CA21" s="1" t="e">
        <f>AND(#REF!,"AAAAAH5vf04=")</f>
        <v>#REF!</v>
      </c>
      <c r="CB21" s="1" t="e">
        <f>AND(#REF!,"AAAAAH5vf08=")</f>
        <v>#REF!</v>
      </c>
      <c r="CC21" s="1" t="e">
        <f>AND(#REF!,"AAAAAH5vf1A=")</f>
        <v>#REF!</v>
      </c>
      <c r="CD21" s="1" t="e">
        <f>AND(#REF!,"AAAAAH5vf1E=")</f>
        <v>#REF!</v>
      </c>
      <c r="CE21" s="1" t="e">
        <f>AND(#REF!,"AAAAAH5vf1I=")</f>
        <v>#REF!</v>
      </c>
      <c r="CF21" s="1" t="e">
        <f>AND(#REF!,"AAAAAH5vf1M=")</f>
        <v>#REF!</v>
      </c>
      <c r="CG21" s="1" t="e">
        <f>IF(#REF!,"AAAAAH5vf1Q=",0)</f>
        <v>#REF!</v>
      </c>
      <c r="CH21" s="1" t="e">
        <f>AND(#REF!,"AAAAAH5vf1U=")</f>
        <v>#REF!</v>
      </c>
      <c r="CI21" s="1" t="e">
        <f>AND(#REF!,"AAAAAH5vf1Y=")</f>
        <v>#REF!</v>
      </c>
      <c r="CJ21" s="1" t="e">
        <f>AND(#REF!,"AAAAAH5vf1c=")</f>
        <v>#REF!</v>
      </c>
      <c r="CK21" s="1" t="e">
        <f>AND(#REF!,"AAAAAH5vf1g=")</f>
        <v>#REF!</v>
      </c>
      <c r="CL21" s="1" t="e">
        <f>AND(#REF!,"AAAAAH5vf1k=")</f>
        <v>#REF!</v>
      </c>
      <c r="CM21" s="1" t="e">
        <f>AND(#REF!,"AAAAAH5vf1o=")</f>
        <v>#REF!</v>
      </c>
      <c r="CN21" s="1" t="e">
        <f>AND(#REF!,"AAAAAH5vf1s=")</f>
        <v>#REF!</v>
      </c>
      <c r="CO21" s="1" t="e">
        <f>AND(#REF!,"AAAAAH5vf1w=")</f>
        <v>#REF!</v>
      </c>
      <c r="CP21" s="1" t="e">
        <f>AND(#REF!,"AAAAAH5vf10=")</f>
        <v>#REF!</v>
      </c>
      <c r="CQ21" s="1" t="e">
        <f>AND(#REF!,"AAAAAH5vf14=")</f>
        <v>#REF!</v>
      </c>
      <c r="CR21" s="1" t="e">
        <f>AND(#REF!,"AAAAAH5vf18=")</f>
        <v>#REF!</v>
      </c>
      <c r="CS21" s="1" t="e">
        <f>AND(#REF!,"AAAAAH5vf2A=")</f>
        <v>#REF!</v>
      </c>
      <c r="CT21" s="1" t="e">
        <f>AND(#REF!,"AAAAAH5vf2E=")</f>
        <v>#REF!</v>
      </c>
      <c r="CU21" s="1" t="e">
        <f>AND(#REF!,"AAAAAH5vf2I=")</f>
        <v>#REF!</v>
      </c>
      <c r="CV21" s="1" t="e">
        <f>AND(#REF!,"AAAAAH5vf2M=")</f>
        <v>#REF!</v>
      </c>
      <c r="CW21" s="1" t="e">
        <f>AND(#REF!,"AAAAAH5vf2Q=")</f>
        <v>#REF!</v>
      </c>
      <c r="CX21" s="1" t="e">
        <f>AND(#REF!,"AAAAAH5vf2U=")</f>
        <v>#REF!</v>
      </c>
      <c r="CY21" s="1" t="e">
        <f>AND(#REF!,"AAAAAH5vf2Y=")</f>
        <v>#REF!</v>
      </c>
      <c r="CZ21" s="1" t="e">
        <f>AND(#REF!,"AAAAAH5vf2c=")</f>
        <v>#REF!</v>
      </c>
      <c r="DA21" s="1" t="e">
        <f>AND(#REF!,"AAAAAH5vf2g=")</f>
        <v>#REF!</v>
      </c>
      <c r="DB21" s="1" t="e">
        <f>AND(#REF!,"AAAAAH5vf2k=")</f>
        <v>#REF!</v>
      </c>
      <c r="DC21" s="1" t="e">
        <f>AND(#REF!,"AAAAAH5vf2o=")</f>
        <v>#REF!</v>
      </c>
      <c r="DD21" s="1" t="e">
        <f>AND(#REF!,"AAAAAH5vf2s=")</f>
        <v>#REF!</v>
      </c>
      <c r="DE21" s="1" t="e">
        <f>AND(#REF!,"AAAAAH5vf2w=")</f>
        <v>#REF!</v>
      </c>
      <c r="DF21" s="1" t="e">
        <f>AND(#REF!,"AAAAAH5vf20=")</f>
        <v>#REF!</v>
      </c>
      <c r="DG21" s="1" t="e">
        <f>AND(#REF!,"AAAAAH5vf24=")</f>
        <v>#REF!</v>
      </c>
      <c r="DH21" s="1" t="e">
        <f>AND(#REF!,"AAAAAH5vf28=")</f>
        <v>#REF!</v>
      </c>
      <c r="DI21" s="1" t="e">
        <f>AND(#REF!,"AAAAAH5vf3A=")</f>
        <v>#REF!</v>
      </c>
      <c r="DJ21" s="1" t="e">
        <f>AND(#REF!,"AAAAAH5vf3E=")</f>
        <v>#REF!</v>
      </c>
      <c r="DK21" s="1" t="e">
        <f>AND(#REF!,"AAAAAH5vf3I=")</f>
        <v>#REF!</v>
      </c>
      <c r="DL21" s="1" t="e">
        <f>AND(#REF!,"AAAAAH5vf3M=")</f>
        <v>#REF!</v>
      </c>
      <c r="DM21" s="1" t="e">
        <f>AND(#REF!,"AAAAAH5vf3Q=")</f>
        <v>#REF!</v>
      </c>
      <c r="DN21" s="1" t="e">
        <f>AND(#REF!,"AAAAAH5vf3U=")</f>
        <v>#REF!</v>
      </c>
      <c r="DO21" s="1" t="e">
        <f>AND(#REF!,"AAAAAH5vf3Y=")</f>
        <v>#REF!</v>
      </c>
      <c r="DP21" s="1" t="e">
        <f>AND(#REF!,"AAAAAH5vf3c=")</f>
        <v>#REF!</v>
      </c>
      <c r="DQ21" s="1" t="e">
        <f>AND(#REF!,"AAAAAH5vf3g=")</f>
        <v>#REF!</v>
      </c>
      <c r="DR21" s="1" t="e">
        <f>AND(#REF!,"AAAAAH5vf3k=")</f>
        <v>#REF!</v>
      </c>
      <c r="DS21" s="1" t="e">
        <f>AND(#REF!,"AAAAAH5vf3o=")</f>
        <v>#REF!</v>
      </c>
      <c r="DT21" s="1" t="e">
        <f>AND(#REF!,"AAAAAH5vf3s=")</f>
        <v>#REF!</v>
      </c>
      <c r="DU21" s="1" t="e">
        <f>AND(#REF!,"AAAAAH5vf3w=")</f>
        <v>#REF!</v>
      </c>
      <c r="DV21" s="1" t="e">
        <f>AND(#REF!,"AAAAAH5vf30=")</f>
        <v>#REF!</v>
      </c>
      <c r="DW21" s="1" t="e">
        <f>AND(#REF!,"AAAAAH5vf34=")</f>
        <v>#REF!</v>
      </c>
      <c r="DX21" s="1" t="e">
        <f>AND(#REF!,"AAAAAH5vf38=")</f>
        <v>#REF!</v>
      </c>
      <c r="DY21" s="1" t="e">
        <f>AND(#REF!,"AAAAAH5vf4A=")</f>
        <v>#REF!</v>
      </c>
      <c r="DZ21" s="1" t="e">
        <f>AND(#REF!,"AAAAAH5vf4E=")</f>
        <v>#REF!</v>
      </c>
      <c r="EA21" s="1" t="e">
        <f>AND(#REF!,"AAAAAH5vf4I=")</f>
        <v>#REF!</v>
      </c>
      <c r="EB21" s="1" t="e">
        <f>AND(#REF!,"AAAAAH5vf4M=")</f>
        <v>#REF!</v>
      </c>
      <c r="EC21" s="1" t="e">
        <f>AND(#REF!,"AAAAAH5vf4Q=")</f>
        <v>#REF!</v>
      </c>
      <c r="ED21" s="1" t="e">
        <f>AND(#REF!,"AAAAAH5vf4U=")</f>
        <v>#REF!</v>
      </c>
      <c r="EE21" s="1" t="e">
        <f>AND(#REF!,"AAAAAH5vf4Y=")</f>
        <v>#REF!</v>
      </c>
      <c r="EF21" s="1" t="e">
        <f>AND(#REF!,"AAAAAH5vf4c=")</f>
        <v>#REF!</v>
      </c>
      <c r="EG21" s="1" t="e">
        <f>AND(#REF!,"AAAAAH5vf4g=")</f>
        <v>#REF!</v>
      </c>
      <c r="EH21" s="1" t="e">
        <f>AND(#REF!,"AAAAAH5vf4k=")</f>
        <v>#REF!</v>
      </c>
      <c r="EI21" s="1" t="e">
        <f>AND(#REF!,"AAAAAH5vf4o=")</f>
        <v>#REF!</v>
      </c>
      <c r="EJ21" s="1" t="e">
        <f>AND(#REF!,"AAAAAH5vf4s=")</f>
        <v>#REF!</v>
      </c>
      <c r="EK21" s="1" t="e">
        <f>AND(#REF!,"AAAAAH5vf4w=")</f>
        <v>#REF!</v>
      </c>
      <c r="EL21" s="1" t="e">
        <f>AND(#REF!,"AAAAAH5vf40=")</f>
        <v>#REF!</v>
      </c>
      <c r="EM21" s="1" t="e">
        <f>AND(#REF!,"AAAAAH5vf44=")</f>
        <v>#REF!</v>
      </c>
      <c r="EN21" s="1" t="e">
        <f>AND(#REF!,"AAAAAH5vf48=")</f>
        <v>#REF!</v>
      </c>
      <c r="EO21" s="1" t="e">
        <f>AND(#REF!,"AAAAAH5vf5A=")</f>
        <v>#REF!</v>
      </c>
      <c r="EP21" s="1" t="e">
        <f>AND(#REF!,"AAAAAH5vf5E=")</f>
        <v>#REF!</v>
      </c>
      <c r="EQ21" s="1" t="e">
        <f>AND(#REF!,"AAAAAH5vf5I=")</f>
        <v>#REF!</v>
      </c>
      <c r="ER21" s="1" t="e">
        <f>AND(#REF!,"AAAAAH5vf5M=")</f>
        <v>#REF!</v>
      </c>
      <c r="ES21" s="1" t="e">
        <f>AND(#REF!,"AAAAAH5vf5Q=")</f>
        <v>#REF!</v>
      </c>
      <c r="ET21" s="1" t="e">
        <f>AND(#REF!,"AAAAAH5vf5U=")</f>
        <v>#REF!</v>
      </c>
      <c r="EU21" s="1" t="e">
        <f>AND(#REF!,"AAAAAH5vf5Y=")</f>
        <v>#REF!</v>
      </c>
      <c r="EV21" s="1" t="e">
        <f>AND(#REF!,"AAAAAH5vf5c=")</f>
        <v>#REF!</v>
      </c>
      <c r="EW21" s="1" t="e">
        <f>AND(#REF!,"AAAAAH5vf5g=")</f>
        <v>#REF!</v>
      </c>
      <c r="EX21" s="1" t="e">
        <f>AND(#REF!,"AAAAAH5vf5k=")</f>
        <v>#REF!</v>
      </c>
      <c r="EY21" s="1" t="e">
        <f>AND(#REF!,"AAAAAH5vf5o=")</f>
        <v>#REF!</v>
      </c>
      <c r="EZ21" s="1" t="e">
        <f>AND(#REF!,"AAAAAH5vf5s=")</f>
        <v>#REF!</v>
      </c>
      <c r="FA21" s="1" t="e">
        <f>AND(#REF!,"AAAAAH5vf5w=")</f>
        <v>#REF!</v>
      </c>
      <c r="FB21" s="1" t="e">
        <f>AND(#REF!,"AAAAAH5vf50=")</f>
        <v>#REF!</v>
      </c>
      <c r="FC21" s="1" t="e">
        <f>AND(#REF!,"AAAAAH5vf54=")</f>
        <v>#REF!</v>
      </c>
      <c r="FD21" s="1" t="e">
        <f>AND(#REF!,"AAAAAH5vf58=")</f>
        <v>#REF!</v>
      </c>
      <c r="FE21" s="1" t="e">
        <f>AND(#REF!,"AAAAAH5vf6A=")</f>
        <v>#REF!</v>
      </c>
      <c r="FF21" s="1" t="e">
        <f>AND(#REF!,"AAAAAH5vf6E=")</f>
        <v>#REF!</v>
      </c>
      <c r="FG21" s="1" t="e">
        <f>AND(#REF!,"AAAAAH5vf6I=")</f>
        <v>#REF!</v>
      </c>
      <c r="FH21" s="1" t="e">
        <f>AND(#REF!,"AAAAAH5vf6M=")</f>
        <v>#REF!</v>
      </c>
      <c r="FI21" s="1" t="e">
        <f>AND(#REF!,"AAAAAH5vf6Q=")</f>
        <v>#REF!</v>
      </c>
      <c r="FJ21" s="1" t="e">
        <f>AND(#REF!,"AAAAAH5vf6U=")</f>
        <v>#REF!</v>
      </c>
      <c r="FK21" s="1" t="e">
        <f>AND(#REF!,"AAAAAH5vf6Y=")</f>
        <v>#REF!</v>
      </c>
      <c r="FL21" s="1" t="e">
        <f>AND(#REF!,"AAAAAH5vf6c=")</f>
        <v>#REF!</v>
      </c>
      <c r="FM21" s="1" t="e">
        <f>AND(#REF!,"AAAAAH5vf6g=")</f>
        <v>#REF!</v>
      </c>
      <c r="FN21" s="1" t="e">
        <f>AND(#REF!,"AAAAAH5vf6k=")</f>
        <v>#REF!</v>
      </c>
      <c r="FO21" s="1" t="e">
        <f>AND(#REF!,"AAAAAH5vf6o=")</f>
        <v>#REF!</v>
      </c>
      <c r="FP21" s="1" t="e">
        <f>AND(#REF!,"AAAAAH5vf6s=")</f>
        <v>#REF!</v>
      </c>
      <c r="FQ21" s="1" t="e">
        <f>AND(#REF!,"AAAAAH5vf6w=")</f>
        <v>#REF!</v>
      </c>
      <c r="FR21" s="1" t="e">
        <f>AND(#REF!,"AAAAAH5vf60=")</f>
        <v>#REF!</v>
      </c>
      <c r="FS21" s="1" t="e">
        <f>AND(#REF!,"AAAAAH5vf64=")</f>
        <v>#REF!</v>
      </c>
      <c r="FT21" s="1" t="e">
        <f>AND(#REF!,"AAAAAH5vf68=")</f>
        <v>#REF!</v>
      </c>
      <c r="FU21" s="1" t="e">
        <f>AND(#REF!,"AAAAAH5vf7A=")</f>
        <v>#REF!</v>
      </c>
      <c r="FV21" s="1" t="e">
        <f>AND(#REF!,"AAAAAH5vf7E=")</f>
        <v>#REF!</v>
      </c>
      <c r="FW21" s="1" t="e">
        <f>AND(#REF!,"AAAAAH5vf7I=")</f>
        <v>#REF!</v>
      </c>
      <c r="FX21" s="1" t="e">
        <f>AND(#REF!,"AAAAAH5vf7M=")</f>
        <v>#REF!</v>
      </c>
      <c r="FY21" s="1" t="e">
        <f>AND(#REF!,"AAAAAH5vf7Q=")</f>
        <v>#REF!</v>
      </c>
      <c r="FZ21" s="1" t="e">
        <f>AND(#REF!,"AAAAAH5vf7U=")</f>
        <v>#REF!</v>
      </c>
      <c r="GA21" s="1" t="e">
        <f>AND(#REF!,"AAAAAH5vf7Y=")</f>
        <v>#REF!</v>
      </c>
      <c r="GB21" s="1" t="e">
        <f>AND(#REF!,"AAAAAH5vf7c=")</f>
        <v>#REF!</v>
      </c>
      <c r="GC21" s="1" t="e">
        <f>AND(#REF!,"AAAAAH5vf7g=")</f>
        <v>#REF!</v>
      </c>
      <c r="GD21" s="1" t="e">
        <f>AND(#REF!,"AAAAAH5vf7k=")</f>
        <v>#REF!</v>
      </c>
      <c r="GE21" s="1" t="e">
        <f>AND(#REF!,"AAAAAH5vf7o=")</f>
        <v>#REF!</v>
      </c>
      <c r="GF21" s="1" t="e">
        <f>IF(#REF!,"AAAAAH5vf7s=",0)</f>
        <v>#REF!</v>
      </c>
      <c r="GG21" s="1" t="e">
        <f>AND(#REF!,"AAAAAH5vf7w=")</f>
        <v>#REF!</v>
      </c>
      <c r="GH21" s="1" t="e">
        <f>AND(#REF!,"AAAAAH5vf70=")</f>
        <v>#REF!</v>
      </c>
      <c r="GI21" s="1" t="e">
        <f>AND(#REF!,"AAAAAH5vf74=")</f>
        <v>#REF!</v>
      </c>
      <c r="GJ21" s="1" t="e">
        <f>AND(#REF!,"AAAAAH5vf78=")</f>
        <v>#REF!</v>
      </c>
      <c r="GK21" s="1" t="e">
        <f>AND(#REF!,"AAAAAH5vf8A=")</f>
        <v>#REF!</v>
      </c>
      <c r="GL21" s="1" t="e">
        <f>AND(#REF!,"AAAAAH5vf8E=")</f>
        <v>#REF!</v>
      </c>
      <c r="GM21" s="1" t="e">
        <f>AND(#REF!,"AAAAAH5vf8I=")</f>
        <v>#REF!</v>
      </c>
      <c r="GN21" s="1" t="e">
        <f>AND(#REF!,"AAAAAH5vf8M=")</f>
        <v>#REF!</v>
      </c>
      <c r="GO21" s="1" t="e">
        <f>AND(#REF!,"AAAAAH5vf8Q=")</f>
        <v>#REF!</v>
      </c>
      <c r="GP21" s="1" t="e">
        <f>AND(#REF!,"AAAAAH5vf8U=")</f>
        <v>#REF!</v>
      </c>
      <c r="GQ21" s="1" t="e">
        <f>AND(#REF!,"AAAAAH5vf8Y=")</f>
        <v>#REF!</v>
      </c>
      <c r="GR21" s="1" t="e">
        <f>AND(#REF!,"AAAAAH5vf8c=")</f>
        <v>#REF!</v>
      </c>
      <c r="GS21" s="1" t="e">
        <f>AND(#REF!,"AAAAAH5vf8g=")</f>
        <v>#REF!</v>
      </c>
      <c r="GT21" s="1" t="e">
        <f>AND(#REF!,"AAAAAH5vf8k=")</f>
        <v>#REF!</v>
      </c>
      <c r="GU21" s="1" t="e">
        <f>AND(#REF!,"AAAAAH5vf8o=")</f>
        <v>#REF!</v>
      </c>
      <c r="GV21" s="1" t="e">
        <f>AND(#REF!,"AAAAAH5vf8s=")</f>
        <v>#REF!</v>
      </c>
      <c r="GW21" s="1" t="e">
        <f>AND(#REF!,"AAAAAH5vf8w=")</f>
        <v>#REF!</v>
      </c>
      <c r="GX21" s="1" t="e">
        <f>AND(#REF!,"AAAAAH5vf80=")</f>
        <v>#REF!</v>
      </c>
      <c r="GY21" s="1" t="e">
        <f>AND(#REF!,"AAAAAH5vf84=")</f>
        <v>#REF!</v>
      </c>
      <c r="GZ21" s="1" t="e">
        <f>AND(#REF!,"AAAAAH5vf88=")</f>
        <v>#REF!</v>
      </c>
      <c r="HA21" s="1" t="e">
        <f>AND(#REF!,"AAAAAH5vf9A=")</f>
        <v>#REF!</v>
      </c>
      <c r="HB21" s="1" t="e">
        <f>AND(#REF!,"AAAAAH5vf9E=")</f>
        <v>#REF!</v>
      </c>
      <c r="HC21" s="1" t="e">
        <f>AND(#REF!,"AAAAAH5vf9I=")</f>
        <v>#REF!</v>
      </c>
      <c r="HD21" s="1" t="e">
        <f>AND(#REF!,"AAAAAH5vf9M=")</f>
        <v>#REF!</v>
      </c>
      <c r="HE21" s="1" t="e">
        <f>AND(#REF!,"AAAAAH5vf9Q=")</f>
        <v>#REF!</v>
      </c>
      <c r="HF21" s="1" t="e">
        <f>AND(#REF!,"AAAAAH5vf9U=")</f>
        <v>#REF!</v>
      </c>
      <c r="HG21" s="1" t="e">
        <f>AND(#REF!,"AAAAAH5vf9Y=")</f>
        <v>#REF!</v>
      </c>
      <c r="HH21" s="1" t="e">
        <f>AND(#REF!,"AAAAAH5vf9c=")</f>
        <v>#REF!</v>
      </c>
      <c r="HI21" s="1" t="e">
        <f>AND(#REF!,"AAAAAH5vf9g=")</f>
        <v>#REF!</v>
      </c>
      <c r="HJ21" s="1" t="e">
        <f>AND(#REF!,"AAAAAH5vf9k=")</f>
        <v>#REF!</v>
      </c>
      <c r="HK21" s="1" t="e">
        <f>AND(#REF!,"AAAAAH5vf9o=")</f>
        <v>#REF!</v>
      </c>
      <c r="HL21" s="1" t="e">
        <f>AND(#REF!,"AAAAAH5vf9s=")</f>
        <v>#REF!</v>
      </c>
      <c r="HM21" s="1" t="e">
        <f>AND(#REF!,"AAAAAH5vf9w=")</f>
        <v>#REF!</v>
      </c>
      <c r="HN21" s="1" t="e">
        <f>AND(#REF!,"AAAAAH5vf90=")</f>
        <v>#REF!</v>
      </c>
      <c r="HO21" s="1" t="e">
        <f>AND(#REF!,"AAAAAH5vf94=")</f>
        <v>#REF!</v>
      </c>
      <c r="HP21" s="1" t="e">
        <f>AND(#REF!,"AAAAAH5vf98=")</f>
        <v>#REF!</v>
      </c>
      <c r="HQ21" s="1" t="e">
        <f>AND(#REF!,"AAAAAH5vf+A=")</f>
        <v>#REF!</v>
      </c>
      <c r="HR21" s="1" t="e">
        <f>AND(#REF!,"AAAAAH5vf+E=")</f>
        <v>#REF!</v>
      </c>
      <c r="HS21" s="1" t="e">
        <f>AND(#REF!,"AAAAAH5vf+I=")</f>
        <v>#REF!</v>
      </c>
      <c r="HT21" s="1" t="e">
        <f>AND(#REF!,"AAAAAH5vf+M=")</f>
        <v>#REF!</v>
      </c>
      <c r="HU21" s="1" t="e">
        <f>AND(#REF!,"AAAAAH5vf+Q=")</f>
        <v>#REF!</v>
      </c>
      <c r="HV21" s="1" t="e">
        <f>AND(#REF!,"AAAAAH5vf+U=")</f>
        <v>#REF!</v>
      </c>
      <c r="HW21" s="1" t="e">
        <f>AND(#REF!,"AAAAAH5vf+Y=")</f>
        <v>#REF!</v>
      </c>
      <c r="HX21" s="1" t="e">
        <f>AND(#REF!,"AAAAAH5vf+c=")</f>
        <v>#REF!</v>
      </c>
      <c r="HY21" s="1" t="e">
        <f>AND(#REF!,"AAAAAH5vf+g=")</f>
        <v>#REF!</v>
      </c>
      <c r="HZ21" s="1" t="e">
        <f>AND(#REF!,"AAAAAH5vf+k=")</f>
        <v>#REF!</v>
      </c>
      <c r="IA21" s="1" t="e">
        <f>AND(#REF!,"AAAAAH5vf+o=")</f>
        <v>#REF!</v>
      </c>
      <c r="IB21" s="1" t="e">
        <f>AND(#REF!,"AAAAAH5vf+s=")</f>
        <v>#REF!</v>
      </c>
      <c r="IC21" s="1" t="e">
        <f>AND(#REF!,"AAAAAH5vf+w=")</f>
        <v>#REF!</v>
      </c>
      <c r="ID21" s="1" t="e">
        <f>AND(#REF!,"AAAAAH5vf+0=")</f>
        <v>#REF!</v>
      </c>
      <c r="IE21" s="1" t="e">
        <f>AND(#REF!,"AAAAAH5vf+4=")</f>
        <v>#REF!</v>
      </c>
      <c r="IF21" s="1" t="e">
        <f>AND(#REF!,"AAAAAH5vf+8=")</f>
        <v>#REF!</v>
      </c>
      <c r="IG21" s="1" t="e">
        <f>AND(#REF!,"AAAAAH5vf/A=")</f>
        <v>#REF!</v>
      </c>
      <c r="IH21" s="1" t="e">
        <f>AND(#REF!,"AAAAAH5vf/E=")</f>
        <v>#REF!</v>
      </c>
      <c r="II21" s="1" t="e">
        <f>AND(#REF!,"AAAAAH5vf/I=")</f>
        <v>#REF!</v>
      </c>
      <c r="IJ21" s="1" t="e">
        <f>AND(#REF!,"AAAAAH5vf/M=")</f>
        <v>#REF!</v>
      </c>
      <c r="IK21" s="1" t="e">
        <f>AND(#REF!,"AAAAAH5vf/Q=")</f>
        <v>#REF!</v>
      </c>
      <c r="IL21" s="1" t="e">
        <f>AND(#REF!,"AAAAAH5vf/U=")</f>
        <v>#REF!</v>
      </c>
      <c r="IM21" s="1" t="e">
        <f>AND(#REF!,"AAAAAH5vf/Y=")</f>
        <v>#REF!</v>
      </c>
      <c r="IN21" s="1" t="e">
        <f>AND(#REF!,"AAAAAH5vf/c=")</f>
        <v>#REF!</v>
      </c>
      <c r="IO21" s="1" t="e">
        <f>AND(#REF!,"AAAAAH5vf/g=")</f>
        <v>#REF!</v>
      </c>
      <c r="IP21" s="1" t="e">
        <f>AND(#REF!,"AAAAAH5vf/k=")</f>
        <v>#REF!</v>
      </c>
      <c r="IQ21" s="1" t="e">
        <f>AND(#REF!,"AAAAAH5vf/o=")</f>
        <v>#REF!</v>
      </c>
      <c r="IR21" s="1" t="e">
        <f>AND(#REF!,"AAAAAH5vf/s=")</f>
        <v>#REF!</v>
      </c>
      <c r="IS21" s="1" t="e">
        <f>AND(#REF!,"AAAAAH5vf/w=")</f>
        <v>#REF!</v>
      </c>
      <c r="IT21" s="1" t="e">
        <f>AND(#REF!,"AAAAAH5vf/0=")</f>
        <v>#REF!</v>
      </c>
      <c r="IU21" s="1" t="e">
        <f>AND(#REF!,"AAAAAH5vf/4=")</f>
        <v>#REF!</v>
      </c>
      <c r="IV21" s="1" t="e">
        <f>AND(#REF!,"AAAAAH5vf/8=")</f>
        <v>#REF!</v>
      </c>
    </row>
    <row r="22" spans="1:256" ht="15" customHeight="1" x14ac:dyDescent="0.2">
      <c r="A22" s="1" t="e">
        <f>AND(#REF!,"AAAAAH+d6wA=")</f>
        <v>#REF!</v>
      </c>
      <c r="B22" s="1" t="e">
        <f>AND(#REF!,"AAAAAH+d6wE=")</f>
        <v>#REF!</v>
      </c>
      <c r="C22" s="1" t="e">
        <f>AND(#REF!,"AAAAAH+d6wI=")</f>
        <v>#REF!</v>
      </c>
      <c r="D22" s="1" t="e">
        <f>AND(#REF!,"AAAAAH+d6wM=")</f>
        <v>#REF!</v>
      </c>
      <c r="E22" s="1" t="e">
        <f>AND(#REF!,"AAAAAH+d6wQ=")</f>
        <v>#REF!</v>
      </c>
      <c r="F22" s="1" t="e">
        <f>AND(#REF!,"AAAAAH+d6wU=")</f>
        <v>#REF!</v>
      </c>
      <c r="G22" s="1" t="e">
        <f>AND(#REF!,"AAAAAH+d6wY=")</f>
        <v>#REF!</v>
      </c>
      <c r="H22" s="1" t="e">
        <f>AND(#REF!,"AAAAAH+d6wc=")</f>
        <v>#REF!</v>
      </c>
      <c r="I22" s="1" t="e">
        <f>AND(#REF!,"AAAAAH+d6wg=")</f>
        <v>#REF!</v>
      </c>
      <c r="J22" s="1" t="e">
        <f>AND(#REF!,"AAAAAH+d6wk=")</f>
        <v>#REF!</v>
      </c>
      <c r="K22" s="1" t="e">
        <f>AND(#REF!,"AAAAAH+d6wo=")</f>
        <v>#REF!</v>
      </c>
      <c r="L22" s="1" t="e">
        <f>AND(#REF!,"AAAAAH+d6ws=")</f>
        <v>#REF!</v>
      </c>
      <c r="M22" s="1" t="e">
        <f>AND(#REF!,"AAAAAH+d6ww=")</f>
        <v>#REF!</v>
      </c>
      <c r="N22" s="1" t="e">
        <f>AND(#REF!,"AAAAAH+d6w0=")</f>
        <v>#REF!</v>
      </c>
      <c r="O22" s="1" t="e">
        <f>AND(#REF!,"AAAAAH+d6w4=")</f>
        <v>#REF!</v>
      </c>
      <c r="P22" s="1" t="e">
        <f>AND(#REF!,"AAAAAH+d6w8=")</f>
        <v>#REF!</v>
      </c>
      <c r="Q22" s="1" t="e">
        <f>AND(#REF!,"AAAAAH+d6xA=")</f>
        <v>#REF!</v>
      </c>
      <c r="R22" s="1" t="e">
        <f>AND(#REF!,"AAAAAH+d6xE=")</f>
        <v>#REF!</v>
      </c>
      <c r="S22" s="1" t="e">
        <f>AND(#REF!,"AAAAAH+d6xI=")</f>
        <v>#REF!</v>
      </c>
      <c r="T22" s="1" t="e">
        <f>AND(#REF!,"AAAAAH+d6xM=")</f>
        <v>#REF!</v>
      </c>
      <c r="U22" s="1" t="e">
        <f>AND(#REF!,"AAAAAH+d6xQ=")</f>
        <v>#REF!</v>
      </c>
      <c r="V22" s="1" t="e">
        <f>AND(#REF!,"AAAAAH+d6xU=")</f>
        <v>#REF!</v>
      </c>
      <c r="W22" s="1" t="e">
        <f>AND(#REF!,"AAAAAH+d6xY=")</f>
        <v>#REF!</v>
      </c>
      <c r="X22" s="1" t="e">
        <f>AND(#REF!,"AAAAAH+d6xc=")</f>
        <v>#REF!</v>
      </c>
      <c r="Y22" s="1" t="e">
        <f>AND(#REF!,"AAAAAH+d6xg=")</f>
        <v>#REF!</v>
      </c>
      <c r="Z22" s="1" t="e">
        <f>AND(#REF!,"AAAAAH+d6xk=")</f>
        <v>#REF!</v>
      </c>
      <c r="AA22" s="1" t="e">
        <f>AND(#REF!,"AAAAAH+d6xo=")</f>
        <v>#REF!</v>
      </c>
      <c r="AB22" s="1" t="e">
        <f>AND(#REF!,"AAAAAH+d6xs=")</f>
        <v>#REF!</v>
      </c>
      <c r="AC22" s="1" t="e">
        <f>AND(#REF!,"AAAAAH+d6xw=")</f>
        <v>#REF!</v>
      </c>
      <c r="AD22" s="1" t="e">
        <f>AND(#REF!,"AAAAAH+d6x0=")</f>
        <v>#REF!</v>
      </c>
      <c r="AE22" s="1" t="e">
        <f>AND(#REF!,"AAAAAH+d6x4=")</f>
        <v>#REF!</v>
      </c>
      <c r="AF22" s="1" t="e">
        <f>AND(#REF!,"AAAAAH+d6x8=")</f>
        <v>#REF!</v>
      </c>
      <c r="AG22" s="1" t="e">
        <f>AND(#REF!,"AAAAAH+d6yA=")</f>
        <v>#REF!</v>
      </c>
      <c r="AH22" s="1" t="e">
        <f>AND(#REF!,"AAAAAH+d6yE=")</f>
        <v>#REF!</v>
      </c>
      <c r="AI22" s="1" t="e">
        <f>IF(#REF!,"AAAAAH+d6yI=",0)</f>
        <v>#REF!</v>
      </c>
      <c r="AJ22" s="1" t="e">
        <f>AND(#REF!,"AAAAAH+d6yM=")</f>
        <v>#REF!</v>
      </c>
      <c r="AK22" s="1" t="e">
        <f>AND(#REF!,"AAAAAH+d6yQ=")</f>
        <v>#REF!</v>
      </c>
      <c r="AL22" s="1" t="e">
        <f>AND(#REF!,"AAAAAH+d6yU=")</f>
        <v>#REF!</v>
      </c>
      <c r="AM22" s="1" t="e">
        <f>AND(#REF!,"AAAAAH+d6yY=")</f>
        <v>#REF!</v>
      </c>
      <c r="AN22" s="1" t="e">
        <f>AND(#REF!,"AAAAAH+d6yc=")</f>
        <v>#REF!</v>
      </c>
      <c r="AO22" s="1" t="e">
        <f>AND(#REF!,"AAAAAH+d6yg=")</f>
        <v>#REF!</v>
      </c>
      <c r="AP22" s="1" t="e">
        <f>AND(#REF!,"AAAAAH+d6yk=")</f>
        <v>#REF!</v>
      </c>
      <c r="AQ22" s="1" t="e">
        <f>AND(#REF!,"AAAAAH+d6yo=")</f>
        <v>#REF!</v>
      </c>
      <c r="AR22" s="1" t="e">
        <f>AND(#REF!,"AAAAAH+d6ys=")</f>
        <v>#REF!</v>
      </c>
      <c r="AS22" s="1" t="e">
        <f>AND(#REF!,"AAAAAH+d6yw=")</f>
        <v>#REF!</v>
      </c>
      <c r="AT22" s="1" t="e">
        <f>AND(#REF!,"AAAAAH+d6y0=")</f>
        <v>#REF!</v>
      </c>
      <c r="AU22" s="1" t="e">
        <f>AND(#REF!,"AAAAAH+d6y4=")</f>
        <v>#REF!</v>
      </c>
      <c r="AV22" s="1" t="e">
        <f>AND(#REF!,"AAAAAH+d6y8=")</f>
        <v>#REF!</v>
      </c>
      <c r="AW22" s="1" t="e">
        <f>AND(#REF!,"AAAAAH+d6zA=")</f>
        <v>#REF!</v>
      </c>
      <c r="AX22" s="1" t="e">
        <f>AND(#REF!,"AAAAAH+d6zE=")</f>
        <v>#REF!</v>
      </c>
      <c r="AY22" s="1" t="e">
        <f>AND(#REF!,"AAAAAH+d6zI=")</f>
        <v>#REF!</v>
      </c>
      <c r="AZ22" s="1" t="e">
        <f>AND(#REF!,"AAAAAH+d6zM=")</f>
        <v>#REF!</v>
      </c>
      <c r="BA22" s="1" t="e">
        <f>AND(#REF!,"AAAAAH+d6zQ=")</f>
        <v>#REF!</v>
      </c>
      <c r="BB22" s="1" t="e">
        <f>AND(#REF!,"AAAAAH+d6zU=")</f>
        <v>#REF!</v>
      </c>
      <c r="BC22" s="1" t="e">
        <f>AND(#REF!,"AAAAAH+d6zY=")</f>
        <v>#REF!</v>
      </c>
      <c r="BD22" s="1" t="e">
        <f>AND(#REF!,"AAAAAH+d6zc=")</f>
        <v>#REF!</v>
      </c>
      <c r="BE22" s="1" t="e">
        <f>AND(#REF!,"AAAAAH+d6zg=")</f>
        <v>#REF!</v>
      </c>
      <c r="BF22" s="1" t="e">
        <f>AND(#REF!,"AAAAAH+d6zk=")</f>
        <v>#REF!</v>
      </c>
      <c r="BG22" s="1" t="e">
        <f>AND(#REF!,"AAAAAH+d6zo=")</f>
        <v>#REF!</v>
      </c>
      <c r="BH22" s="1" t="e">
        <f>AND(#REF!,"AAAAAH+d6zs=")</f>
        <v>#REF!</v>
      </c>
      <c r="BI22" s="1" t="e">
        <f>AND(#REF!,"AAAAAH+d6zw=")</f>
        <v>#REF!</v>
      </c>
      <c r="BJ22" s="1" t="e">
        <f>AND(#REF!,"AAAAAH+d6z0=")</f>
        <v>#REF!</v>
      </c>
      <c r="BK22" s="1" t="e">
        <f>AND(#REF!,"AAAAAH+d6z4=")</f>
        <v>#REF!</v>
      </c>
      <c r="BL22" s="1" t="e">
        <f>AND(#REF!,"AAAAAH+d6z8=")</f>
        <v>#REF!</v>
      </c>
      <c r="BM22" s="1" t="e">
        <f>AND(#REF!,"AAAAAH+d60A=")</f>
        <v>#REF!</v>
      </c>
      <c r="BN22" s="1" t="e">
        <f>AND(#REF!,"AAAAAH+d60E=")</f>
        <v>#REF!</v>
      </c>
      <c r="BO22" s="1" t="e">
        <f>AND(#REF!,"AAAAAH+d60I=")</f>
        <v>#REF!</v>
      </c>
      <c r="BP22" s="1" t="e">
        <f>AND(#REF!,"AAAAAH+d60M=")</f>
        <v>#REF!</v>
      </c>
      <c r="BQ22" s="1" t="e">
        <f>AND(#REF!,"AAAAAH+d60Q=")</f>
        <v>#REF!</v>
      </c>
      <c r="BR22" s="1" t="e">
        <f>AND(#REF!,"AAAAAH+d60U=")</f>
        <v>#REF!</v>
      </c>
      <c r="BS22" s="1" t="e">
        <f>AND(#REF!,"AAAAAH+d60Y=")</f>
        <v>#REF!</v>
      </c>
      <c r="BT22" s="1" t="e">
        <f>AND(#REF!,"AAAAAH+d60c=")</f>
        <v>#REF!</v>
      </c>
      <c r="BU22" s="1" t="e">
        <f>AND(#REF!,"AAAAAH+d60g=")</f>
        <v>#REF!</v>
      </c>
      <c r="BV22" s="1" t="e">
        <f>AND(#REF!,"AAAAAH+d60k=")</f>
        <v>#REF!</v>
      </c>
      <c r="BW22" s="1" t="e">
        <f>AND(#REF!,"AAAAAH+d60o=")</f>
        <v>#REF!</v>
      </c>
      <c r="BX22" s="1" t="e">
        <f>AND(#REF!,"AAAAAH+d60s=")</f>
        <v>#REF!</v>
      </c>
      <c r="BY22" s="1" t="e">
        <f>AND(#REF!,"AAAAAH+d60w=")</f>
        <v>#REF!</v>
      </c>
      <c r="BZ22" s="1" t="e">
        <f>AND(#REF!,"AAAAAH+d600=")</f>
        <v>#REF!</v>
      </c>
      <c r="CA22" s="1" t="e">
        <f>AND(#REF!,"AAAAAH+d604=")</f>
        <v>#REF!</v>
      </c>
      <c r="CB22" s="1" t="e">
        <f>AND(#REF!,"AAAAAH+d608=")</f>
        <v>#REF!</v>
      </c>
      <c r="CC22" s="1" t="e">
        <f>AND(#REF!,"AAAAAH+d61A=")</f>
        <v>#REF!</v>
      </c>
      <c r="CD22" s="1" t="e">
        <f>AND(#REF!,"AAAAAH+d61E=")</f>
        <v>#REF!</v>
      </c>
      <c r="CE22" s="1" t="e">
        <f>AND(#REF!,"AAAAAH+d61I=")</f>
        <v>#REF!</v>
      </c>
      <c r="CF22" s="1" t="e">
        <f>AND(#REF!,"AAAAAH+d61M=")</f>
        <v>#REF!</v>
      </c>
      <c r="CG22" s="1" t="e">
        <f>AND(#REF!,"AAAAAH+d61Q=")</f>
        <v>#REF!</v>
      </c>
      <c r="CH22" s="1" t="e">
        <f>AND(#REF!,"AAAAAH+d61U=")</f>
        <v>#REF!</v>
      </c>
      <c r="CI22" s="1" t="e">
        <f>AND(#REF!,"AAAAAH+d61Y=")</f>
        <v>#REF!</v>
      </c>
      <c r="CJ22" s="1" t="e">
        <f>AND(#REF!,"AAAAAH+d61c=")</f>
        <v>#REF!</v>
      </c>
      <c r="CK22" s="1" t="e">
        <f>AND(#REF!,"AAAAAH+d61g=")</f>
        <v>#REF!</v>
      </c>
      <c r="CL22" s="1" t="e">
        <f>AND(#REF!,"AAAAAH+d61k=")</f>
        <v>#REF!</v>
      </c>
      <c r="CM22" s="1" t="e">
        <f>AND(#REF!,"AAAAAH+d61o=")</f>
        <v>#REF!</v>
      </c>
      <c r="CN22" s="1" t="e">
        <f>AND(#REF!,"AAAAAH+d61s=")</f>
        <v>#REF!</v>
      </c>
      <c r="CO22" s="1" t="e">
        <f>AND(#REF!,"AAAAAH+d61w=")</f>
        <v>#REF!</v>
      </c>
      <c r="CP22" s="1" t="e">
        <f>AND(#REF!,"AAAAAH+d610=")</f>
        <v>#REF!</v>
      </c>
      <c r="CQ22" s="1" t="e">
        <f>AND(#REF!,"AAAAAH+d614=")</f>
        <v>#REF!</v>
      </c>
      <c r="CR22" s="1" t="e">
        <f>AND(#REF!,"AAAAAH+d618=")</f>
        <v>#REF!</v>
      </c>
      <c r="CS22" s="1" t="e">
        <f>AND(#REF!,"AAAAAH+d62A=")</f>
        <v>#REF!</v>
      </c>
      <c r="CT22" s="1" t="e">
        <f>AND(#REF!,"AAAAAH+d62E=")</f>
        <v>#REF!</v>
      </c>
      <c r="CU22" s="1" t="e">
        <f>AND(#REF!,"AAAAAH+d62I=")</f>
        <v>#REF!</v>
      </c>
      <c r="CV22" s="1" t="e">
        <f>AND(#REF!,"AAAAAH+d62M=")</f>
        <v>#REF!</v>
      </c>
      <c r="CW22" s="1" t="e">
        <f>AND(#REF!,"AAAAAH+d62Q=")</f>
        <v>#REF!</v>
      </c>
      <c r="CX22" s="1" t="e">
        <f>AND(#REF!,"AAAAAH+d62U=")</f>
        <v>#REF!</v>
      </c>
      <c r="CY22" s="1" t="e">
        <f>AND(#REF!,"AAAAAH+d62Y=")</f>
        <v>#REF!</v>
      </c>
      <c r="CZ22" s="1" t="e">
        <f>AND(#REF!,"AAAAAH+d62c=")</f>
        <v>#REF!</v>
      </c>
      <c r="DA22" s="1" t="e">
        <f>AND(#REF!,"AAAAAH+d62g=")</f>
        <v>#REF!</v>
      </c>
      <c r="DB22" s="1" t="e">
        <f>AND(#REF!,"AAAAAH+d62k=")</f>
        <v>#REF!</v>
      </c>
      <c r="DC22" s="1" t="e">
        <f>AND(#REF!,"AAAAAH+d62o=")</f>
        <v>#REF!</v>
      </c>
      <c r="DD22" s="1" t="e">
        <f>AND(#REF!,"AAAAAH+d62s=")</f>
        <v>#REF!</v>
      </c>
      <c r="DE22" s="1" t="e">
        <f>AND(#REF!,"AAAAAH+d62w=")</f>
        <v>#REF!</v>
      </c>
      <c r="DF22" s="1" t="e">
        <f>AND(#REF!,"AAAAAH+d620=")</f>
        <v>#REF!</v>
      </c>
      <c r="DG22" s="1" t="e">
        <f>AND(#REF!,"AAAAAH+d624=")</f>
        <v>#REF!</v>
      </c>
      <c r="DH22" s="1" t="e">
        <f>AND(#REF!,"AAAAAH+d628=")</f>
        <v>#REF!</v>
      </c>
      <c r="DI22" s="1" t="e">
        <f>AND(#REF!,"AAAAAH+d63A=")</f>
        <v>#REF!</v>
      </c>
      <c r="DJ22" s="1" t="e">
        <f>AND(#REF!,"AAAAAH+d63E=")</f>
        <v>#REF!</v>
      </c>
      <c r="DK22" s="1" t="e">
        <f>AND(#REF!,"AAAAAH+d63I=")</f>
        <v>#REF!</v>
      </c>
      <c r="DL22" s="1" t="e">
        <f>AND(#REF!,"AAAAAH+d63M=")</f>
        <v>#REF!</v>
      </c>
      <c r="DM22" s="1" t="e">
        <f>AND(#REF!,"AAAAAH+d63Q=")</f>
        <v>#REF!</v>
      </c>
      <c r="DN22" s="1" t="e">
        <f>AND(#REF!,"AAAAAH+d63U=")</f>
        <v>#REF!</v>
      </c>
      <c r="DO22" s="1" t="e">
        <f>AND(#REF!,"AAAAAH+d63Y=")</f>
        <v>#REF!</v>
      </c>
      <c r="DP22" s="1" t="e">
        <f>AND(#REF!,"AAAAAH+d63c=")</f>
        <v>#REF!</v>
      </c>
      <c r="DQ22" s="1" t="e">
        <f>AND(#REF!,"AAAAAH+d63g=")</f>
        <v>#REF!</v>
      </c>
      <c r="DR22" s="1" t="e">
        <f>AND(#REF!,"AAAAAH+d63k=")</f>
        <v>#REF!</v>
      </c>
      <c r="DS22" s="1" t="e">
        <f>AND(#REF!,"AAAAAH+d63o=")</f>
        <v>#REF!</v>
      </c>
      <c r="DT22" s="1" t="e">
        <f>AND(#REF!,"AAAAAH+d63s=")</f>
        <v>#REF!</v>
      </c>
      <c r="DU22" s="1" t="e">
        <f>AND(#REF!,"AAAAAH+d63w=")</f>
        <v>#REF!</v>
      </c>
      <c r="DV22" s="1" t="e">
        <f>AND(#REF!,"AAAAAH+d630=")</f>
        <v>#REF!</v>
      </c>
      <c r="DW22" s="1" t="e">
        <f>AND(#REF!,"AAAAAH+d634=")</f>
        <v>#REF!</v>
      </c>
      <c r="DX22" s="1" t="e">
        <f>AND(#REF!,"AAAAAH+d638=")</f>
        <v>#REF!</v>
      </c>
      <c r="DY22" s="1" t="e">
        <f>AND(#REF!,"AAAAAH+d64A=")</f>
        <v>#REF!</v>
      </c>
      <c r="DZ22" s="1" t="e">
        <f>AND(#REF!,"AAAAAH+d64E=")</f>
        <v>#REF!</v>
      </c>
      <c r="EA22" s="1" t="e">
        <f>AND(#REF!,"AAAAAH+d64I=")</f>
        <v>#REF!</v>
      </c>
      <c r="EB22" s="1" t="e">
        <f>AND(#REF!,"AAAAAH+d64M=")</f>
        <v>#REF!</v>
      </c>
      <c r="EC22" s="1" t="e">
        <f>AND(#REF!,"AAAAAH+d64Q=")</f>
        <v>#REF!</v>
      </c>
      <c r="ED22" s="1" t="e">
        <f>AND(#REF!,"AAAAAH+d64U=")</f>
        <v>#REF!</v>
      </c>
      <c r="EE22" s="1" t="e">
        <f>AND(#REF!,"AAAAAH+d64Y=")</f>
        <v>#REF!</v>
      </c>
      <c r="EF22" s="1" t="e">
        <f>AND(#REF!,"AAAAAH+d64c=")</f>
        <v>#REF!</v>
      </c>
      <c r="EG22" s="1" t="e">
        <f>AND(#REF!,"AAAAAH+d64g=")</f>
        <v>#REF!</v>
      </c>
      <c r="EH22" s="1" t="e">
        <f>IF(#REF!,"AAAAAH+d64k=",0)</f>
        <v>#REF!</v>
      </c>
      <c r="EI22" s="1" t="e">
        <f>AND(#REF!,"AAAAAH+d64o=")</f>
        <v>#REF!</v>
      </c>
      <c r="EJ22" s="1" t="e">
        <f>AND(#REF!,"AAAAAH+d64s=")</f>
        <v>#REF!</v>
      </c>
      <c r="EK22" s="1" t="e">
        <f>AND(#REF!,"AAAAAH+d64w=")</f>
        <v>#REF!</v>
      </c>
      <c r="EL22" s="1" t="e">
        <f>AND(#REF!,"AAAAAH+d640=")</f>
        <v>#REF!</v>
      </c>
      <c r="EM22" s="1" t="e">
        <f>AND(#REF!,"AAAAAH+d644=")</f>
        <v>#REF!</v>
      </c>
      <c r="EN22" s="1" t="e">
        <f>AND(#REF!,"AAAAAH+d648=")</f>
        <v>#REF!</v>
      </c>
      <c r="EO22" s="1" t="e">
        <f>AND(#REF!,"AAAAAH+d65A=")</f>
        <v>#REF!</v>
      </c>
      <c r="EP22" s="1" t="e">
        <f>AND(#REF!,"AAAAAH+d65E=")</f>
        <v>#REF!</v>
      </c>
      <c r="EQ22" s="1" t="e">
        <f>AND(#REF!,"AAAAAH+d65I=")</f>
        <v>#REF!</v>
      </c>
      <c r="ER22" s="1" t="e">
        <f>AND(#REF!,"AAAAAH+d65M=")</f>
        <v>#REF!</v>
      </c>
      <c r="ES22" s="1" t="e">
        <f>AND(#REF!,"AAAAAH+d65Q=")</f>
        <v>#REF!</v>
      </c>
      <c r="ET22" s="1" t="e">
        <f>AND(#REF!,"AAAAAH+d65U=")</f>
        <v>#REF!</v>
      </c>
      <c r="EU22" s="1" t="e">
        <f>AND(#REF!,"AAAAAH+d65Y=")</f>
        <v>#REF!</v>
      </c>
      <c r="EV22" s="1" t="e">
        <f>AND(#REF!,"AAAAAH+d65c=")</f>
        <v>#REF!</v>
      </c>
      <c r="EW22" s="1" t="e">
        <f>AND(#REF!,"AAAAAH+d65g=")</f>
        <v>#REF!</v>
      </c>
      <c r="EX22" s="1" t="e">
        <f>AND(#REF!,"AAAAAH+d65k=")</f>
        <v>#REF!</v>
      </c>
      <c r="EY22" s="1" t="e">
        <f>AND(#REF!,"AAAAAH+d65o=")</f>
        <v>#REF!</v>
      </c>
      <c r="EZ22" s="1" t="e">
        <f>AND(#REF!,"AAAAAH+d65s=")</f>
        <v>#REF!</v>
      </c>
      <c r="FA22" s="1" t="e">
        <f>AND(#REF!,"AAAAAH+d65w=")</f>
        <v>#REF!</v>
      </c>
      <c r="FB22" s="1" t="e">
        <f>AND(#REF!,"AAAAAH+d650=")</f>
        <v>#REF!</v>
      </c>
      <c r="FC22" s="1" t="e">
        <f>AND(#REF!,"AAAAAH+d654=")</f>
        <v>#REF!</v>
      </c>
      <c r="FD22" s="1" t="e">
        <f>AND(#REF!,"AAAAAH+d658=")</f>
        <v>#REF!</v>
      </c>
      <c r="FE22" s="1" t="e">
        <f>AND(#REF!,"AAAAAH+d66A=")</f>
        <v>#REF!</v>
      </c>
      <c r="FF22" s="1" t="e">
        <f>AND(#REF!,"AAAAAH+d66E=")</f>
        <v>#REF!</v>
      </c>
      <c r="FG22" s="1" t="e">
        <f>AND(#REF!,"AAAAAH+d66I=")</f>
        <v>#REF!</v>
      </c>
      <c r="FH22" s="1" t="e">
        <f>AND(#REF!,"AAAAAH+d66M=")</f>
        <v>#REF!</v>
      </c>
      <c r="FI22" s="1" t="e">
        <f>AND(#REF!,"AAAAAH+d66Q=")</f>
        <v>#REF!</v>
      </c>
      <c r="FJ22" s="1" t="e">
        <f>AND(#REF!,"AAAAAH+d66U=")</f>
        <v>#REF!</v>
      </c>
      <c r="FK22" s="1" t="e">
        <f>AND(#REF!,"AAAAAH+d66Y=")</f>
        <v>#REF!</v>
      </c>
      <c r="FL22" s="1" t="e">
        <f>AND(#REF!,"AAAAAH+d66c=")</f>
        <v>#REF!</v>
      </c>
      <c r="FM22" s="1" t="e">
        <f>AND(#REF!,"AAAAAH+d66g=")</f>
        <v>#REF!</v>
      </c>
      <c r="FN22" s="1" t="e">
        <f>AND(#REF!,"AAAAAH+d66k=")</f>
        <v>#REF!</v>
      </c>
      <c r="FO22" s="1" t="e">
        <f>AND(#REF!,"AAAAAH+d66o=")</f>
        <v>#REF!</v>
      </c>
      <c r="FP22" s="1" t="e">
        <f>AND(#REF!,"AAAAAH+d66s=")</f>
        <v>#REF!</v>
      </c>
      <c r="FQ22" s="1" t="e">
        <f>AND(#REF!,"AAAAAH+d66w=")</f>
        <v>#REF!</v>
      </c>
      <c r="FR22" s="1" t="e">
        <f>AND(#REF!,"AAAAAH+d660=")</f>
        <v>#REF!</v>
      </c>
      <c r="FS22" s="1" t="e">
        <f>AND(#REF!,"AAAAAH+d664=")</f>
        <v>#REF!</v>
      </c>
      <c r="FT22" s="1" t="e">
        <f>AND(#REF!,"AAAAAH+d668=")</f>
        <v>#REF!</v>
      </c>
      <c r="FU22" s="1" t="e">
        <f>AND(#REF!,"AAAAAH+d67A=")</f>
        <v>#REF!</v>
      </c>
      <c r="FV22" s="1" t="e">
        <f>AND(#REF!,"AAAAAH+d67E=")</f>
        <v>#REF!</v>
      </c>
      <c r="FW22" s="1" t="e">
        <f>AND(#REF!,"AAAAAH+d67I=")</f>
        <v>#REF!</v>
      </c>
      <c r="FX22" s="1" t="e">
        <f>AND(#REF!,"AAAAAH+d67M=")</f>
        <v>#REF!</v>
      </c>
      <c r="FY22" s="1" t="e">
        <f>AND(#REF!,"AAAAAH+d67Q=")</f>
        <v>#REF!</v>
      </c>
      <c r="FZ22" s="1" t="e">
        <f>AND(#REF!,"AAAAAH+d67U=")</f>
        <v>#REF!</v>
      </c>
      <c r="GA22" s="1" t="e">
        <f>AND(#REF!,"AAAAAH+d67Y=")</f>
        <v>#REF!</v>
      </c>
      <c r="GB22" s="1" t="e">
        <f>AND(#REF!,"AAAAAH+d67c=")</f>
        <v>#REF!</v>
      </c>
      <c r="GC22" s="1" t="e">
        <f>AND(#REF!,"AAAAAH+d67g=")</f>
        <v>#REF!</v>
      </c>
      <c r="GD22" s="1" t="e">
        <f>AND(#REF!,"AAAAAH+d67k=")</f>
        <v>#REF!</v>
      </c>
      <c r="GE22" s="1" t="e">
        <f>AND(#REF!,"AAAAAH+d67o=")</f>
        <v>#REF!</v>
      </c>
      <c r="GF22" s="1" t="e">
        <f>AND(#REF!,"AAAAAH+d67s=")</f>
        <v>#REF!</v>
      </c>
      <c r="GG22" s="1" t="e">
        <f>AND(#REF!,"AAAAAH+d67w=")</f>
        <v>#REF!</v>
      </c>
      <c r="GH22" s="1" t="e">
        <f>AND(#REF!,"AAAAAH+d670=")</f>
        <v>#REF!</v>
      </c>
      <c r="GI22" s="1" t="e">
        <f>AND(#REF!,"AAAAAH+d674=")</f>
        <v>#REF!</v>
      </c>
      <c r="GJ22" s="1" t="e">
        <f>AND(#REF!,"AAAAAH+d678=")</f>
        <v>#REF!</v>
      </c>
      <c r="GK22" s="1" t="e">
        <f>AND(#REF!,"AAAAAH+d68A=")</f>
        <v>#REF!</v>
      </c>
      <c r="GL22" s="1" t="e">
        <f>AND(#REF!,"AAAAAH+d68E=")</f>
        <v>#REF!</v>
      </c>
      <c r="GM22" s="1" t="e">
        <f>AND(#REF!,"AAAAAH+d68I=")</f>
        <v>#REF!</v>
      </c>
      <c r="GN22" s="1" t="e">
        <f>AND(#REF!,"AAAAAH+d68M=")</f>
        <v>#REF!</v>
      </c>
      <c r="GO22" s="1" t="e">
        <f>AND(#REF!,"AAAAAH+d68Q=")</f>
        <v>#REF!</v>
      </c>
      <c r="GP22" s="1" t="e">
        <f>AND(#REF!,"AAAAAH+d68U=")</f>
        <v>#REF!</v>
      </c>
      <c r="GQ22" s="1" t="e">
        <f>AND(#REF!,"AAAAAH+d68Y=")</f>
        <v>#REF!</v>
      </c>
      <c r="GR22" s="1" t="e">
        <f>AND(#REF!,"AAAAAH+d68c=")</f>
        <v>#REF!</v>
      </c>
      <c r="GS22" s="1" t="e">
        <f>AND(#REF!,"AAAAAH+d68g=")</f>
        <v>#REF!</v>
      </c>
      <c r="GT22" s="1" t="e">
        <f>AND(#REF!,"AAAAAH+d68k=")</f>
        <v>#REF!</v>
      </c>
      <c r="GU22" s="1" t="e">
        <f>AND(#REF!,"AAAAAH+d68o=")</f>
        <v>#REF!</v>
      </c>
      <c r="GV22" s="1" t="e">
        <f>AND(#REF!,"AAAAAH+d68s=")</f>
        <v>#REF!</v>
      </c>
      <c r="GW22" s="1" t="e">
        <f>AND(#REF!,"AAAAAH+d68w=")</f>
        <v>#REF!</v>
      </c>
      <c r="GX22" s="1" t="e">
        <f>AND(#REF!,"AAAAAH+d680=")</f>
        <v>#REF!</v>
      </c>
      <c r="GY22" s="1" t="e">
        <f>AND(#REF!,"AAAAAH+d684=")</f>
        <v>#REF!</v>
      </c>
      <c r="GZ22" s="1" t="e">
        <f>AND(#REF!,"AAAAAH+d688=")</f>
        <v>#REF!</v>
      </c>
      <c r="HA22" s="1" t="e">
        <f>AND(#REF!,"AAAAAH+d69A=")</f>
        <v>#REF!</v>
      </c>
      <c r="HB22" s="1" t="e">
        <f>AND(#REF!,"AAAAAH+d69E=")</f>
        <v>#REF!</v>
      </c>
      <c r="HC22" s="1" t="e">
        <f>AND(#REF!,"AAAAAH+d69I=")</f>
        <v>#REF!</v>
      </c>
      <c r="HD22" s="1" t="e">
        <f>AND(#REF!,"AAAAAH+d69M=")</f>
        <v>#REF!</v>
      </c>
      <c r="HE22" s="1" t="e">
        <f>AND(#REF!,"AAAAAH+d69Q=")</f>
        <v>#REF!</v>
      </c>
      <c r="HF22" s="1" t="e">
        <f>AND(#REF!,"AAAAAH+d69U=")</f>
        <v>#REF!</v>
      </c>
      <c r="HG22" s="1" t="e">
        <f>AND(#REF!,"AAAAAH+d69Y=")</f>
        <v>#REF!</v>
      </c>
      <c r="HH22" s="1" t="e">
        <f>AND(#REF!,"AAAAAH+d69c=")</f>
        <v>#REF!</v>
      </c>
      <c r="HI22" s="1" t="e">
        <f>AND(#REF!,"AAAAAH+d69g=")</f>
        <v>#REF!</v>
      </c>
      <c r="HJ22" s="1" t="e">
        <f>AND(#REF!,"AAAAAH+d69k=")</f>
        <v>#REF!</v>
      </c>
      <c r="HK22" s="1" t="e">
        <f>AND(#REF!,"AAAAAH+d69o=")</f>
        <v>#REF!</v>
      </c>
      <c r="HL22" s="1" t="e">
        <f>AND(#REF!,"AAAAAH+d69s=")</f>
        <v>#REF!</v>
      </c>
      <c r="HM22" s="1" t="e">
        <f>AND(#REF!,"AAAAAH+d69w=")</f>
        <v>#REF!</v>
      </c>
      <c r="HN22" s="1" t="e">
        <f>AND(#REF!,"AAAAAH+d690=")</f>
        <v>#REF!</v>
      </c>
      <c r="HO22" s="1" t="e">
        <f>AND(#REF!,"AAAAAH+d694=")</f>
        <v>#REF!</v>
      </c>
      <c r="HP22" s="1" t="e">
        <f>AND(#REF!,"AAAAAH+d698=")</f>
        <v>#REF!</v>
      </c>
      <c r="HQ22" s="1" t="e">
        <f>AND(#REF!,"AAAAAH+d6+A=")</f>
        <v>#REF!</v>
      </c>
      <c r="HR22" s="1" t="e">
        <f>AND(#REF!,"AAAAAH+d6+E=")</f>
        <v>#REF!</v>
      </c>
      <c r="HS22" s="1" t="e">
        <f>AND(#REF!,"AAAAAH+d6+I=")</f>
        <v>#REF!</v>
      </c>
      <c r="HT22" s="1" t="e">
        <f>AND(#REF!,"AAAAAH+d6+M=")</f>
        <v>#REF!</v>
      </c>
      <c r="HU22" s="1" t="e">
        <f>AND(#REF!,"AAAAAH+d6+Q=")</f>
        <v>#REF!</v>
      </c>
      <c r="HV22" s="1" t="e">
        <f>AND(#REF!,"AAAAAH+d6+U=")</f>
        <v>#REF!</v>
      </c>
      <c r="HW22" s="1" t="e">
        <f>AND(#REF!,"AAAAAH+d6+Y=")</f>
        <v>#REF!</v>
      </c>
      <c r="HX22" s="1" t="e">
        <f>AND(#REF!,"AAAAAH+d6+c=")</f>
        <v>#REF!</v>
      </c>
      <c r="HY22" s="1" t="e">
        <f>AND(#REF!,"AAAAAH+d6+g=")</f>
        <v>#REF!</v>
      </c>
      <c r="HZ22" s="1" t="e">
        <f>AND(#REF!,"AAAAAH+d6+k=")</f>
        <v>#REF!</v>
      </c>
      <c r="IA22" s="1" t="e">
        <f>AND(#REF!,"AAAAAH+d6+o=")</f>
        <v>#REF!</v>
      </c>
      <c r="IB22" s="1" t="e">
        <f>AND(#REF!,"AAAAAH+d6+s=")</f>
        <v>#REF!</v>
      </c>
      <c r="IC22" s="1" t="e">
        <f>AND(#REF!,"AAAAAH+d6+w=")</f>
        <v>#REF!</v>
      </c>
      <c r="ID22" s="1" t="e">
        <f>AND(#REF!,"AAAAAH+d6+0=")</f>
        <v>#REF!</v>
      </c>
      <c r="IE22" s="1" t="e">
        <f>AND(#REF!,"AAAAAH+d6+4=")</f>
        <v>#REF!</v>
      </c>
      <c r="IF22" s="1" t="e">
        <f>AND(#REF!,"AAAAAH+d6+8=")</f>
        <v>#REF!</v>
      </c>
      <c r="IG22" s="1" t="e">
        <f>IF(#REF!,"AAAAAH+d6/A=",0)</f>
        <v>#REF!</v>
      </c>
      <c r="IH22" s="1" t="e">
        <f>AND(#REF!,"AAAAAH+d6/E=")</f>
        <v>#REF!</v>
      </c>
      <c r="II22" s="1" t="e">
        <f>AND(#REF!,"AAAAAH+d6/I=")</f>
        <v>#REF!</v>
      </c>
      <c r="IJ22" s="1" t="e">
        <f>AND(#REF!,"AAAAAH+d6/M=")</f>
        <v>#REF!</v>
      </c>
      <c r="IK22" s="1" t="e">
        <f>AND(#REF!,"AAAAAH+d6/Q=")</f>
        <v>#REF!</v>
      </c>
      <c r="IL22" s="1" t="e">
        <f>AND(#REF!,"AAAAAH+d6/U=")</f>
        <v>#REF!</v>
      </c>
      <c r="IM22" s="1" t="e">
        <f>AND(#REF!,"AAAAAH+d6/Y=")</f>
        <v>#REF!</v>
      </c>
      <c r="IN22" s="1" t="e">
        <f>AND(#REF!,"AAAAAH+d6/c=")</f>
        <v>#REF!</v>
      </c>
      <c r="IO22" s="1" t="e">
        <f>AND(#REF!,"AAAAAH+d6/g=")</f>
        <v>#REF!</v>
      </c>
      <c r="IP22" s="1" t="e">
        <f>AND(#REF!,"AAAAAH+d6/k=")</f>
        <v>#REF!</v>
      </c>
      <c r="IQ22" s="1" t="e">
        <f>AND(#REF!,"AAAAAH+d6/o=")</f>
        <v>#REF!</v>
      </c>
      <c r="IR22" s="1" t="e">
        <f>AND(#REF!,"AAAAAH+d6/s=")</f>
        <v>#REF!</v>
      </c>
      <c r="IS22" s="1" t="e">
        <f>AND(#REF!,"AAAAAH+d6/w=")</f>
        <v>#REF!</v>
      </c>
      <c r="IT22" s="1" t="e">
        <f>AND(#REF!,"AAAAAH+d6/0=")</f>
        <v>#REF!</v>
      </c>
      <c r="IU22" s="1" t="e">
        <f>AND(#REF!,"AAAAAH+d6/4=")</f>
        <v>#REF!</v>
      </c>
      <c r="IV22" s="1" t="e">
        <f>AND(#REF!,"AAAAAH+d6/8=")</f>
        <v>#REF!</v>
      </c>
    </row>
    <row r="23" spans="1:256" ht="15" customHeight="1" x14ac:dyDescent="0.2">
      <c r="A23" s="1" t="e">
        <f>AND(#REF!,"AAAAAHPZNwA=")</f>
        <v>#REF!</v>
      </c>
      <c r="B23" s="1" t="e">
        <f>AND(#REF!,"AAAAAHPZNwE=")</f>
        <v>#REF!</v>
      </c>
      <c r="C23" s="1" t="e">
        <f>AND(#REF!,"AAAAAHPZNwI=")</f>
        <v>#REF!</v>
      </c>
      <c r="D23" s="1" t="e">
        <f>AND(#REF!,"AAAAAHPZNwM=")</f>
        <v>#REF!</v>
      </c>
      <c r="E23" s="1" t="e">
        <f>AND(#REF!,"AAAAAHPZNwQ=")</f>
        <v>#REF!</v>
      </c>
      <c r="F23" s="1" t="e">
        <f>AND(#REF!,"AAAAAHPZNwU=")</f>
        <v>#REF!</v>
      </c>
      <c r="G23" s="1" t="e">
        <f>AND(#REF!,"AAAAAHPZNwY=")</f>
        <v>#REF!</v>
      </c>
      <c r="H23" s="1" t="e">
        <f>AND(#REF!,"AAAAAHPZNwc=")</f>
        <v>#REF!</v>
      </c>
      <c r="I23" s="1" t="e">
        <f>AND(#REF!,"AAAAAHPZNwg=")</f>
        <v>#REF!</v>
      </c>
      <c r="J23" s="1" t="e">
        <f>AND(#REF!,"AAAAAHPZNwk=")</f>
        <v>#REF!</v>
      </c>
      <c r="K23" s="1" t="e">
        <f>AND(#REF!,"AAAAAHPZNwo=")</f>
        <v>#REF!</v>
      </c>
      <c r="L23" s="1" t="e">
        <f>AND(#REF!,"AAAAAHPZNws=")</f>
        <v>#REF!</v>
      </c>
      <c r="M23" s="1" t="e">
        <f>AND(#REF!,"AAAAAHPZNww=")</f>
        <v>#REF!</v>
      </c>
      <c r="N23" s="1" t="e">
        <f>AND(#REF!,"AAAAAHPZNw0=")</f>
        <v>#REF!</v>
      </c>
      <c r="O23" s="1" t="e">
        <f>AND(#REF!,"AAAAAHPZNw4=")</f>
        <v>#REF!</v>
      </c>
      <c r="P23" s="1" t="e">
        <f>AND(#REF!,"AAAAAHPZNw8=")</f>
        <v>#REF!</v>
      </c>
      <c r="Q23" s="1" t="e">
        <f>AND(#REF!,"AAAAAHPZNxA=")</f>
        <v>#REF!</v>
      </c>
      <c r="R23" s="1" t="e">
        <f>AND(#REF!,"AAAAAHPZNxE=")</f>
        <v>#REF!</v>
      </c>
      <c r="S23" s="1" t="e">
        <f>AND(#REF!,"AAAAAHPZNxI=")</f>
        <v>#REF!</v>
      </c>
      <c r="T23" s="1" t="e">
        <f>AND(#REF!,"AAAAAHPZNxM=")</f>
        <v>#REF!</v>
      </c>
      <c r="U23" s="1" t="e">
        <f>AND(#REF!,"AAAAAHPZNxQ=")</f>
        <v>#REF!</v>
      </c>
      <c r="V23" s="1" t="e">
        <f>AND(#REF!,"AAAAAHPZNxU=")</f>
        <v>#REF!</v>
      </c>
      <c r="W23" s="1" t="e">
        <f>AND(#REF!,"AAAAAHPZNxY=")</f>
        <v>#REF!</v>
      </c>
      <c r="X23" s="1" t="e">
        <f>AND(#REF!,"AAAAAHPZNxc=")</f>
        <v>#REF!</v>
      </c>
      <c r="Y23" s="1" t="e">
        <f>AND(#REF!,"AAAAAHPZNxg=")</f>
        <v>#REF!</v>
      </c>
      <c r="Z23" s="1" t="e">
        <f>AND(#REF!,"AAAAAHPZNxk=")</f>
        <v>#REF!</v>
      </c>
      <c r="AA23" s="1" t="e">
        <f>AND(#REF!,"AAAAAHPZNxo=")</f>
        <v>#REF!</v>
      </c>
      <c r="AB23" s="1" t="e">
        <f>AND(#REF!,"AAAAAHPZNxs=")</f>
        <v>#REF!</v>
      </c>
      <c r="AC23" s="1" t="e">
        <f>AND(#REF!,"AAAAAHPZNxw=")</f>
        <v>#REF!</v>
      </c>
      <c r="AD23" s="1" t="e">
        <f>AND(#REF!,"AAAAAHPZNx0=")</f>
        <v>#REF!</v>
      </c>
      <c r="AE23" s="1" t="e">
        <f>AND(#REF!,"AAAAAHPZNx4=")</f>
        <v>#REF!</v>
      </c>
      <c r="AF23" s="1" t="e">
        <f>AND(#REF!,"AAAAAHPZNx8=")</f>
        <v>#REF!</v>
      </c>
      <c r="AG23" s="1" t="e">
        <f>AND(#REF!,"AAAAAHPZNyA=")</f>
        <v>#REF!</v>
      </c>
      <c r="AH23" s="1" t="e">
        <f>AND(#REF!,"AAAAAHPZNyE=")</f>
        <v>#REF!</v>
      </c>
      <c r="AI23" s="1" t="e">
        <f>AND(#REF!,"AAAAAHPZNyI=")</f>
        <v>#REF!</v>
      </c>
      <c r="AJ23" s="1" t="e">
        <f>AND(#REF!,"AAAAAHPZNyM=")</f>
        <v>#REF!</v>
      </c>
      <c r="AK23" s="1" t="e">
        <f>AND(#REF!,"AAAAAHPZNyQ=")</f>
        <v>#REF!</v>
      </c>
      <c r="AL23" s="1" t="e">
        <f>AND(#REF!,"AAAAAHPZNyU=")</f>
        <v>#REF!</v>
      </c>
      <c r="AM23" s="1" t="e">
        <f>AND(#REF!,"AAAAAHPZNyY=")</f>
        <v>#REF!</v>
      </c>
      <c r="AN23" s="1" t="e">
        <f>AND(#REF!,"AAAAAHPZNyc=")</f>
        <v>#REF!</v>
      </c>
      <c r="AO23" s="1" t="e">
        <f>AND(#REF!,"AAAAAHPZNyg=")</f>
        <v>#REF!</v>
      </c>
      <c r="AP23" s="1" t="e">
        <f>AND(#REF!,"AAAAAHPZNyk=")</f>
        <v>#REF!</v>
      </c>
      <c r="AQ23" s="1" t="e">
        <f>AND(#REF!,"AAAAAHPZNyo=")</f>
        <v>#REF!</v>
      </c>
      <c r="AR23" s="1" t="e">
        <f>AND(#REF!,"AAAAAHPZNys=")</f>
        <v>#REF!</v>
      </c>
      <c r="AS23" s="1" t="e">
        <f>AND(#REF!,"AAAAAHPZNyw=")</f>
        <v>#REF!</v>
      </c>
      <c r="AT23" s="1" t="e">
        <f>AND(#REF!,"AAAAAHPZNy0=")</f>
        <v>#REF!</v>
      </c>
      <c r="AU23" s="1" t="e">
        <f>AND(#REF!,"AAAAAHPZNy4=")</f>
        <v>#REF!</v>
      </c>
      <c r="AV23" s="1" t="e">
        <f>AND(#REF!,"AAAAAHPZNy8=")</f>
        <v>#REF!</v>
      </c>
      <c r="AW23" s="1" t="e">
        <f>AND(#REF!,"AAAAAHPZNzA=")</f>
        <v>#REF!</v>
      </c>
      <c r="AX23" s="1" t="e">
        <f>AND(#REF!,"AAAAAHPZNzE=")</f>
        <v>#REF!</v>
      </c>
      <c r="AY23" s="1" t="e">
        <f>AND(#REF!,"AAAAAHPZNzI=")</f>
        <v>#REF!</v>
      </c>
      <c r="AZ23" s="1" t="e">
        <f>AND(#REF!,"AAAAAHPZNzM=")</f>
        <v>#REF!</v>
      </c>
      <c r="BA23" s="1" t="e">
        <f>AND(#REF!,"AAAAAHPZNzQ=")</f>
        <v>#REF!</v>
      </c>
      <c r="BB23" s="1" t="e">
        <f>AND(#REF!,"AAAAAHPZNzU=")</f>
        <v>#REF!</v>
      </c>
      <c r="BC23" s="1" t="e">
        <f>AND(#REF!,"AAAAAHPZNzY=")</f>
        <v>#REF!</v>
      </c>
      <c r="BD23" s="1" t="e">
        <f>AND(#REF!,"AAAAAHPZNzc=")</f>
        <v>#REF!</v>
      </c>
      <c r="BE23" s="1" t="e">
        <f>AND(#REF!,"AAAAAHPZNzg=")</f>
        <v>#REF!</v>
      </c>
      <c r="BF23" s="1" t="e">
        <f>AND(#REF!,"AAAAAHPZNzk=")</f>
        <v>#REF!</v>
      </c>
      <c r="BG23" s="1" t="e">
        <f>AND(#REF!,"AAAAAHPZNzo=")</f>
        <v>#REF!</v>
      </c>
      <c r="BH23" s="1" t="e">
        <f>AND(#REF!,"AAAAAHPZNzs=")</f>
        <v>#REF!</v>
      </c>
      <c r="BI23" s="1" t="e">
        <f>AND(#REF!,"AAAAAHPZNzw=")</f>
        <v>#REF!</v>
      </c>
      <c r="BJ23" s="1" t="e">
        <f>AND(#REF!,"AAAAAHPZNz0=")</f>
        <v>#REF!</v>
      </c>
      <c r="BK23" s="1" t="e">
        <f>AND(#REF!,"AAAAAHPZNz4=")</f>
        <v>#REF!</v>
      </c>
      <c r="BL23" s="1" t="e">
        <f>AND(#REF!,"AAAAAHPZNz8=")</f>
        <v>#REF!</v>
      </c>
      <c r="BM23" s="1" t="e">
        <f>AND(#REF!,"AAAAAHPZN0A=")</f>
        <v>#REF!</v>
      </c>
      <c r="BN23" s="1" t="e">
        <f>AND(#REF!,"AAAAAHPZN0E=")</f>
        <v>#REF!</v>
      </c>
      <c r="BO23" s="1" t="e">
        <f>AND(#REF!,"AAAAAHPZN0I=")</f>
        <v>#REF!</v>
      </c>
      <c r="BP23" s="1" t="e">
        <f>AND(#REF!,"AAAAAHPZN0M=")</f>
        <v>#REF!</v>
      </c>
      <c r="BQ23" s="1" t="e">
        <f>AND(#REF!,"AAAAAHPZN0Q=")</f>
        <v>#REF!</v>
      </c>
      <c r="BR23" s="1" t="e">
        <f>AND(#REF!,"AAAAAHPZN0U=")</f>
        <v>#REF!</v>
      </c>
      <c r="BS23" s="1" t="e">
        <f>AND(#REF!,"AAAAAHPZN0Y=")</f>
        <v>#REF!</v>
      </c>
      <c r="BT23" s="1" t="e">
        <f>AND(#REF!,"AAAAAHPZN0c=")</f>
        <v>#REF!</v>
      </c>
      <c r="BU23" s="1" t="e">
        <f>AND(#REF!,"AAAAAHPZN0g=")</f>
        <v>#REF!</v>
      </c>
      <c r="BV23" s="1" t="e">
        <f>AND(#REF!,"AAAAAHPZN0k=")</f>
        <v>#REF!</v>
      </c>
      <c r="BW23" s="1" t="e">
        <f>AND(#REF!,"AAAAAHPZN0o=")</f>
        <v>#REF!</v>
      </c>
      <c r="BX23" s="1" t="e">
        <f>AND(#REF!,"AAAAAHPZN0s=")</f>
        <v>#REF!</v>
      </c>
      <c r="BY23" s="1" t="e">
        <f>AND(#REF!,"AAAAAHPZN0w=")</f>
        <v>#REF!</v>
      </c>
      <c r="BZ23" s="1" t="e">
        <f>AND(#REF!,"AAAAAHPZN00=")</f>
        <v>#REF!</v>
      </c>
      <c r="CA23" s="1" t="e">
        <f>AND(#REF!,"AAAAAHPZN04=")</f>
        <v>#REF!</v>
      </c>
      <c r="CB23" s="1" t="e">
        <f>AND(#REF!,"AAAAAHPZN08=")</f>
        <v>#REF!</v>
      </c>
      <c r="CC23" s="1" t="e">
        <f>AND(#REF!,"AAAAAHPZN1A=")</f>
        <v>#REF!</v>
      </c>
      <c r="CD23" s="1" t="e">
        <f>AND(#REF!,"AAAAAHPZN1E=")</f>
        <v>#REF!</v>
      </c>
      <c r="CE23" s="1" t="e">
        <f>AND(#REF!,"AAAAAHPZN1I=")</f>
        <v>#REF!</v>
      </c>
      <c r="CF23" s="1" t="e">
        <f>AND(#REF!,"AAAAAHPZN1M=")</f>
        <v>#REF!</v>
      </c>
      <c r="CG23" s="1" t="e">
        <f>AND(#REF!,"AAAAAHPZN1Q=")</f>
        <v>#REF!</v>
      </c>
      <c r="CH23" s="1" t="e">
        <f>AND(#REF!,"AAAAAHPZN1U=")</f>
        <v>#REF!</v>
      </c>
      <c r="CI23" s="1" t="e">
        <f>AND(#REF!,"AAAAAHPZN1Y=")</f>
        <v>#REF!</v>
      </c>
      <c r="CJ23" s="1" t="e">
        <f>IF(#REF!,"AAAAAHPZN1c=",0)</f>
        <v>#REF!</v>
      </c>
      <c r="CK23" s="1" t="e">
        <f>AND(#REF!,"AAAAAHPZN1g=")</f>
        <v>#REF!</v>
      </c>
      <c r="CL23" s="1" t="e">
        <f>AND(#REF!,"AAAAAHPZN1k=")</f>
        <v>#REF!</v>
      </c>
      <c r="CM23" s="1" t="e">
        <f>AND(#REF!,"AAAAAHPZN1o=")</f>
        <v>#REF!</v>
      </c>
      <c r="CN23" s="1" t="e">
        <f>AND(#REF!,"AAAAAHPZN1s=")</f>
        <v>#REF!</v>
      </c>
      <c r="CO23" s="1" t="e">
        <f>AND(#REF!,"AAAAAHPZN1w=")</f>
        <v>#REF!</v>
      </c>
      <c r="CP23" s="1" t="e">
        <f>AND(#REF!,"AAAAAHPZN10=")</f>
        <v>#REF!</v>
      </c>
      <c r="CQ23" s="1" t="e">
        <f>AND(#REF!,"AAAAAHPZN14=")</f>
        <v>#REF!</v>
      </c>
      <c r="CR23" s="1" t="e">
        <f>AND(#REF!,"AAAAAHPZN18=")</f>
        <v>#REF!</v>
      </c>
      <c r="CS23" s="1" t="e">
        <f>AND(#REF!,"AAAAAHPZN2A=")</f>
        <v>#REF!</v>
      </c>
      <c r="CT23" s="1" t="e">
        <f>AND(#REF!,"AAAAAHPZN2E=")</f>
        <v>#REF!</v>
      </c>
      <c r="CU23" s="1" t="e">
        <f>AND(#REF!,"AAAAAHPZN2I=")</f>
        <v>#REF!</v>
      </c>
      <c r="CV23" s="1" t="e">
        <f>AND(#REF!,"AAAAAHPZN2M=")</f>
        <v>#REF!</v>
      </c>
      <c r="CW23" s="1" t="e">
        <f>AND(#REF!,"AAAAAHPZN2Q=")</f>
        <v>#REF!</v>
      </c>
      <c r="CX23" s="1" t="e">
        <f>AND(#REF!,"AAAAAHPZN2U=")</f>
        <v>#REF!</v>
      </c>
      <c r="CY23" s="1" t="e">
        <f>AND(#REF!,"AAAAAHPZN2Y=")</f>
        <v>#REF!</v>
      </c>
      <c r="CZ23" s="1" t="e">
        <f>AND(#REF!,"AAAAAHPZN2c=")</f>
        <v>#REF!</v>
      </c>
      <c r="DA23" s="1" t="e">
        <f>AND(#REF!,"AAAAAHPZN2g=")</f>
        <v>#REF!</v>
      </c>
      <c r="DB23" s="1" t="e">
        <f>AND(#REF!,"AAAAAHPZN2k=")</f>
        <v>#REF!</v>
      </c>
      <c r="DC23" s="1" t="e">
        <f>AND(#REF!,"AAAAAHPZN2o=")</f>
        <v>#REF!</v>
      </c>
      <c r="DD23" s="1" t="e">
        <f>AND(#REF!,"AAAAAHPZN2s=")</f>
        <v>#REF!</v>
      </c>
      <c r="DE23" s="1" t="e">
        <f>AND(#REF!,"AAAAAHPZN2w=")</f>
        <v>#REF!</v>
      </c>
      <c r="DF23" s="1" t="e">
        <f>AND(#REF!,"AAAAAHPZN20=")</f>
        <v>#REF!</v>
      </c>
      <c r="DG23" s="1" t="e">
        <f>AND(#REF!,"AAAAAHPZN24=")</f>
        <v>#REF!</v>
      </c>
      <c r="DH23" s="1" t="e">
        <f>AND(#REF!,"AAAAAHPZN28=")</f>
        <v>#REF!</v>
      </c>
      <c r="DI23" s="1" t="e">
        <f>AND(#REF!,"AAAAAHPZN3A=")</f>
        <v>#REF!</v>
      </c>
      <c r="DJ23" s="1" t="e">
        <f>AND(#REF!,"AAAAAHPZN3E=")</f>
        <v>#REF!</v>
      </c>
      <c r="DK23" s="1" t="e">
        <f>AND(#REF!,"AAAAAHPZN3I=")</f>
        <v>#REF!</v>
      </c>
      <c r="DL23" s="1" t="e">
        <f>AND(#REF!,"AAAAAHPZN3M=")</f>
        <v>#REF!</v>
      </c>
      <c r="DM23" s="1" t="e">
        <f>AND(#REF!,"AAAAAHPZN3Q=")</f>
        <v>#REF!</v>
      </c>
      <c r="DN23" s="1" t="e">
        <f>AND(#REF!,"AAAAAHPZN3U=")</f>
        <v>#REF!</v>
      </c>
      <c r="DO23" s="1" t="e">
        <f>AND(#REF!,"AAAAAHPZN3Y=")</f>
        <v>#REF!</v>
      </c>
      <c r="DP23" s="1" t="e">
        <f>AND(#REF!,"AAAAAHPZN3c=")</f>
        <v>#REF!</v>
      </c>
      <c r="DQ23" s="1" t="e">
        <f>AND(#REF!,"AAAAAHPZN3g=")</f>
        <v>#REF!</v>
      </c>
      <c r="DR23" s="1" t="e">
        <f>AND(#REF!,"AAAAAHPZN3k=")</f>
        <v>#REF!</v>
      </c>
      <c r="DS23" s="1" t="e">
        <f>AND(#REF!,"AAAAAHPZN3o=")</f>
        <v>#REF!</v>
      </c>
      <c r="DT23" s="1" t="e">
        <f>AND(#REF!,"AAAAAHPZN3s=")</f>
        <v>#REF!</v>
      </c>
      <c r="DU23" s="1" t="e">
        <f>AND(#REF!,"AAAAAHPZN3w=")</f>
        <v>#REF!</v>
      </c>
      <c r="DV23" s="1" t="e">
        <f>AND(#REF!,"AAAAAHPZN30=")</f>
        <v>#REF!</v>
      </c>
      <c r="DW23" s="1" t="e">
        <f>AND(#REF!,"AAAAAHPZN34=")</f>
        <v>#REF!</v>
      </c>
      <c r="DX23" s="1" t="e">
        <f>AND(#REF!,"AAAAAHPZN38=")</f>
        <v>#REF!</v>
      </c>
      <c r="DY23" s="1" t="e">
        <f>AND(#REF!,"AAAAAHPZN4A=")</f>
        <v>#REF!</v>
      </c>
      <c r="DZ23" s="1" t="e">
        <f>AND(#REF!,"AAAAAHPZN4E=")</f>
        <v>#REF!</v>
      </c>
      <c r="EA23" s="1" t="e">
        <f>AND(#REF!,"AAAAAHPZN4I=")</f>
        <v>#REF!</v>
      </c>
      <c r="EB23" s="1" t="e">
        <f>AND(#REF!,"AAAAAHPZN4M=")</f>
        <v>#REF!</v>
      </c>
      <c r="EC23" s="1" t="e">
        <f>AND(#REF!,"AAAAAHPZN4Q=")</f>
        <v>#REF!</v>
      </c>
      <c r="ED23" s="1" t="e">
        <f>AND(#REF!,"AAAAAHPZN4U=")</f>
        <v>#REF!</v>
      </c>
      <c r="EE23" s="1" t="e">
        <f>AND(#REF!,"AAAAAHPZN4Y=")</f>
        <v>#REF!</v>
      </c>
      <c r="EF23" s="1" t="e">
        <f>AND(#REF!,"AAAAAHPZN4c=")</f>
        <v>#REF!</v>
      </c>
      <c r="EG23" s="1" t="e">
        <f>AND(#REF!,"AAAAAHPZN4g=")</f>
        <v>#REF!</v>
      </c>
      <c r="EH23" s="1" t="e">
        <f>AND(#REF!,"AAAAAHPZN4k=")</f>
        <v>#REF!</v>
      </c>
      <c r="EI23" s="1" t="e">
        <f>AND(#REF!,"AAAAAHPZN4o=")</f>
        <v>#REF!</v>
      </c>
      <c r="EJ23" s="1" t="e">
        <f>AND(#REF!,"AAAAAHPZN4s=")</f>
        <v>#REF!</v>
      </c>
      <c r="EK23" s="1" t="e">
        <f>AND(#REF!,"AAAAAHPZN4w=")</f>
        <v>#REF!</v>
      </c>
      <c r="EL23" s="1" t="e">
        <f>AND(#REF!,"AAAAAHPZN40=")</f>
        <v>#REF!</v>
      </c>
      <c r="EM23" s="1" t="e">
        <f>AND(#REF!,"AAAAAHPZN44=")</f>
        <v>#REF!</v>
      </c>
      <c r="EN23" s="1" t="e">
        <f>AND(#REF!,"AAAAAHPZN48=")</f>
        <v>#REF!</v>
      </c>
      <c r="EO23" s="1" t="e">
        <f>AND(#REF!,"AAAAAHPZN5A=")</f>
        <v>#REF!</v>
      </c>
      <c r="EP23" s="1" t="e">
        <f>AND(#REF!,"AAAAAHPZN5E=")</f>
        <v>#REF!</v>
      </c>
      <c r="EQ23" s="1" t="e">
        <f>AND(#REF!,"AAAAAHPZN5I=")</f>
        <v>#REF!</v>
      </c>
      <c r="ER23" s="1" t="e">
        <f>AND(#REF!,"AAAAAHPZN5M=")</f>
        <v>#REF!</v>
      </c>
      <c r="ES23" s="1" t="e">
        <f>AND(#REF!,"AAAAAHPZN5Q=")</f>
        <v>#REF!</v>
      </c>
      <c r="ET23" s="1" t="e">
        <f>AND(#REF!,"AAAAAHPZN5U=")</f>
        <v>#REF!</v>
      </c>
      <c r="EU23" s="1" t="e">
        <f>AND(#REF!,"AAAAAHPZN5Y=")</f>
        <v>#REF!</v>
      </c>
      <c r="EV23" s="1" t="e">
        <f>AND(#REF!,"AAAAAHPZN5c=")</f>
        <v>#REF!</v>
      </c>
      <c r="EW23" s="1" t="e">
        <f>AND(#REF!,"AAAAAHPZN5g=")</f>
        <v>#REF!</v>
      </c>
      <c r="EX23" s="1" t="e">
        <f>AND(#REF!,"AAAAAHPZN5k=")</f>
        <v>#REF!</v>
      </c>
      <c r="EY23" s="1" t="e">
        <f>AND(#REF!,"AAAAAHPZN5o=")</f>
        <v>#REF!</v>
      </c>
      <c r="EZ23" s="1" t="e">
        <f>AND(#REF!,"AAAAAHPZN5s=")</f>
        <v>#REF!</v>
      </c>
      <c r="FA23" s="1" t="e">
        <f>AND(#REF!,"AAAAAHPZN5w=")</f>
        <v>#REF!</v>
      </c>
      <c r="FB23" s="1" t="e">
        <f>AND(#REF!,"AAAAAHPZN50=")</f>
        <v>#REF!</v>
      </c>
      <c r="FC23" s="1" t="e">
        <f>AND(#REF!,"AAAAAHPZN54=")</f>
        <v>#REF!</v>
      </c>
      <c r="FD23" s="1" t="e">
        <f>AND(#REF!,"AAAAAHPZN58=")</f>
        <v>#REF!</v>
      </c>
      <c r="FE23" s="1" t="e">
        <f>AND(#REF!,"AAAAAHPZN6A=")</f>
        <v>#REF!</v>
      </c>
      <c r="FF23" s="1" t="e">
        <f>AND(#REF!,"AAAAAHPZN6E=")</f>
        <v>#REF!</v>
      </c>
      <c r="FG23" s="1" t="e">
        <f>AND(#REF!,"AAAAAHPZN6I=")</f>
        <v>#REF!</v>
      </c>
      <c r="FH23" s="1" t="e">
        <f>AND(#REF!,"AAAAAHPZN6M=")</f>
        <v>#REF!</v>
      </c>
      <c r="FI23" s="1" t="e">
        <f>AND(#REF!,"AAAAAHPZN6Q=")</f>
        <v>#REF!</v>
      </c>
      <c r="FJ23" s="1" t="e">
        <f>AND(#REF!,"AAAAAHPZN6U=")</f>
        <v>#REF!</v>
      </c>
      <c r="FK23" s="1" t="e">
        <f>AND(#REF!,"AAAAAHPZN6Y=")</f>
        <v>#REF!</v>
      </c>
      <c r="FL23" s="1" t="e">
        <f>AND(#REF!,"AAAAAHPZN6c=")</f>
        <v>#REF!</v>
      </c>
      <c r="FM23" s="1" t="e">
        <f>AND(#REF!,"AAAAAHPZN6g=")</f>
        <v>#REF!</v>
      </c>
      <c r="FN23" s="1" t="e">
        <f>AND(#REF!,"AAAAAHPZN6k=")</f>
        <v>#REF!</v>
      </c>
      <c r="FO23" s="1" t="e">
        <f>AND(#REF!,"AAAAAHPZN6o=")</f>
        <v>#REF!</v>
      </c>
      <c r="FP23" s="1" t="e">
        <f>AND(#REF!,"AAAAAHPZN6s=")</f>
        <v>#REF!</v>
      </c>
      <c r="FQ23" s="1" t="e">
        <f>AND(#REF!,"AAAAAHPZN6w=")</f>
        <v>#REF!</v>
      </c>
      <c r="FR23" s="1" t="e">
        <f>AND(#REF!,"AAAAAHPZN60=")</f>
        <v>#REF!</v>
      </c>
      <c r="FS23" s="1" t="e">
        <f>AND(#REF!,"AAAAAHPZN64=")</f>
        <v>#REF!</v>
      </c>
      <c r="FT23" s="1" t="e">
        <f>AND(#REF!,"AAAAAHPZN68=")</f>
        <v>#REF!</v>
      </c>
      <c r="FU23" s="1" t="e">
        <f>AND(#REF!,"AAAAAHPZN7A=")</f>
        <v>#REF!</v>
      </c>
      <c r="FV23" s="1" t="e">
        <f>AND(#REF!,"AAAAAHPZN7E=")</f>
        <v>#REF!</v>
      </c>
      <c r="FW23" s="1" t="e">
        <f>AND(#REF!,"AAAAAHPZN7I=")</f>
        <v>#REF!</v>
      </c>
      <c r="FX23" s="1" t="e">
        <f>AND(#REF!,"AAAAAHPZN7M=")</f>
        <v>#REF!</v>
      </c>
      <c r="FY23" s="1" t="e">
        <f>AND(#REF!,"AAAAAHPZN7Q=")</f>
        <v>#REF!</v>
      </c>
      <c r="FZ23" s="1" t="e">
        <f>AND(#REF!,"AAAAAHPZN7U=")</f>
        <v>#REF!</v>
      </c>
      <c r="GA23" s="1" t="e">
        <f>AND(#REF!,"AAAAAHPZN7Y=")</f>
        <v>#REF!</v>
      </c>
      <c r="GB23" s="1" t="e">
        <f>AND(#REF!,"AAAAAHPZN7c=")</f>
        <v>#REF!</v>
      </c>
      <c r="GC23" s="1" t="e">
        <f>AND(#REF!,"AAAAAHPZN7g=")</f>
        <v>#REF!</v>
      </c>
      <c r="GD23" s="1" t="e">
        <f>AND(#REF!,"AAAAAHPZN7k=")</f>
        <v>#REF!</v>
      </c>
      <c r="GE23" s="1" t="e">
        <f>AND(#REF!,"AAAAAHPZN7o=")</f>
        <v>#REF!</v>
      </c>
      <c r="GF23" s="1" t="e">
        <f>AND(#REF!,"AAAAAHPZN7s=")</f>
        <v>#REF!</v>
      </c>
      <c r="GG23" s="1" t="e">
        <f>AND(#REF!,"AAAAAHPZN7w=")</f>
        <v>#REF!</v>
      </c>
      <c r="GH23" s="1" t="e">
        <f>AND(#REF!,"AAAAAHPZN70=")</f>
        <v>#REF!</v>
      </c>
      <c r="GI23" s="1" t="e">
        <f>IF(#REF!,"AAAAAHPZN74=",0)</f>
        <v>#REF!</v>
      </c>
      <c r="GJ23" s="1" t="e">
        <f>AND(#REF!,"AAAAAHPZN78=")</f>
        <v>#REF!</v>
      </c>
      <c r="GK23" s="1" t="e">
        <f>AND(#REF!,"AAAAAHPZN8A=")</f>
        <v>#REF!</v>
      </c>
      <c r="GL23" s="1" t="e">
        <f>AND(#REF!,"AAAAAHPZN8E=")</f>
        <v>#REF!</v>
      </c>
      <c r="GM23" s="1" t="e">
        <f>AND(#REF!,"AAAAAHPZN8I=")</f>
        <v>#REF!</v>
      </c>
      <c r="GN23" s="1" t="e">
        <f>AND(#REF!,"AAAAAHPZN8M=")</f>
        <v>#REF!</v>
      </c>
      <c r="GO23" s="1" t="e">
        <f>AND(#REF!,"AAAAAHPZN8Q=")</f>
        <v>#REF!</v>
      </c>
      <c r="GP23" s="1" t="e">
        <f>AND(#REF!,"AAAAAHPZN8U=")</f>
        <v>#REF!</v>
      </c>
      <c r="GQ23" s="1" t="e">
        <f>AND(#REF!,"AAAAAHPZN8Y=")</f>
        <v>#REF!</v>
      </c>
      <c r="GR23" s="1" t="e">
        <f>AND(#REF!,"AAAAAHPZN8c=")</f>
        <v>#REF!</v>
      </c>
      <c r="GS23" s="1" t="e">
        <f>AND(#REF!,"AAAAAHPZN8g=")</f>
        <v>#REF!</v>
      </c>
      <c r="GT23" s="1" t="e">
        <f>AND(#REF!,"AAAAAHPZN8k=")</f>
        <v>#REF!</v>
      </c>
      <c r="GU23" s="1" t="e">
        <f>AND(#REF!,"AAAAAHPZN8o=")</f>
        <v>#REF!</v>
      </c>
      <c r="GV23" s="1" t="e">
        <f>AND(#REF!,"AAAAAHPZN8s=")</f>
        <v>#REF!</v>
      </c>
      <c r="GW23" s="1" t="e">
        <f>AND(#REF!,"AAAAAHPZN8w=")</f>
        <v>#REF!</v>
      </c>
      <c r="GX23" s="1" t="e">
        <f>AND(#REF!,"AAAAAHPZN80=")</f>
        <v>#REF!</v>
      </c>
      <c r="GY23" s="1" t="e">
        <f>AND(#REF!,"AAAAAHPZN84=")</f>
        <v>#REF!</v>
      </c>
      <c r="GZ23" s="1" t="e">
        <f>AND(#REF!,"AAAAAHPZN88=")</f>
        <v>#REF!</v>
      </c>
      <c r="HA23" s="1" t="e">
        <f>AND(#REF!,"AAAAAHPZN9A=")</f>
        <v>#REF!</v>
      </c>
      <c r="HB23" s="1" t="e">
        <f>AND(#REF!,"AAAAAHPZN9E=")</f>
        <v>#REF!</v>
      </c>
      <c r="HC23" s="1" t="e">
        <f>AND(#REF!,"AAAAAHPZN9I=")</f>
        <v>#REF!</v>
      </c>
      <c r="HD23" s="1" t="e">
        <f>AND(#REF!,"AAAAAHPZN9M=")</f>
        <v>#REF!</v>
      </c>
      <c r="HE23" s="1" t="e">
        <f>AND(#REF!,"AAAAAHPZN9Q=")</f>
        <v>#REF!</v>
      </c>
      <c r="HF23" s="1" t="e">
        <f>AND(#REF!,"AAAAAHPZN9U=")</f>
        <v>#REF!</v>
      </c>
      <c r="HG23" s="1" t="e">
        <f>AND(#REF!,"AAAAAHPZN9Y=")</f>
        <v>#REF!</v>
      </c>
      <c r="HH23" s="1" t="e">
        <f>AND(#REF!,"AAAAAHPZN9c=")</f>
        <v>#REF!</v>
      </c>
      <c r="HI23" s="1" t="e">
        <f>AND(#REF!,"AAAAAHPZN9g=")</f>
        <v>#REF!</v>
      </c>
      <c r="HJ23" s="1" t="e">
        <f>AND(#REF!,"AAAAAHPZN9k=")</f>
        <v>#REF!</v>
      </c>
      <c r="HK23" s="1" t="e">
        <f>AND(#REF!,"AAAAAHPZN9o=")</f>
        <v>#REF!</v>
      </c>
      <c r="HL23" s="1" t="e">
        <f>AND(#REF!,"AAAAAHPZN9s=")</f>
        <v>#REF!</v>
      </c>
      <c r="HM23" s="1" t="e">
        <f>AND(#REF!,"AAAAAHPZN9w=")</f>
        <v>#REF!</v>
      </c>
      <c r="HN23" s="1" t="e">
        <f>AND(#REF!,"AAAAAHPZN90=")</f>
        <v>#REF!</v>
      </c>
      <c r="HO23" s="1" t="e">
        <f>AND(#REF!,"AAAAAHPZN94=")</f>
        <v>#REF!</v>
      </c>
      <c r="HP23" s="1" t="e">
        <f>AND(#REF!,"AAAAAHPZN98=")</f>
        <v>#REF!</v>
      </c>
      <c r="HQ23" s="1" t="e">
        <f>AND(#REF!,"AAAAAHPZN+A=")</f>
        <v>#REF!</v>
      </c>
      <c r="HR23" s="1" t="e">
        <f>AND(#REF!,"AAAAAHPZN+E=")</f>
        <v>#REF!</v>
      </c>
      <c r="HS23" s="1" t="e">
        <f>AND(#REF!,"AAAAAHPZN+I=")</f>
        <v>#REF!</v>
      </c>
      <c r="HT23" s="1" t="e">
        <f>AND(#REF!,"AAAAAHPZN+M=")</f>
        <v>#REF!</v>
      </c>
      <c r="HU23" s="1" t="e">
        <f>AND(#REF!,"AAAAAHPZN+Q=")</f>
        <v>#REF!</v>
      </c>
      <c r="HV23" s="1" t="e">
        <f>AND(#REF!,"AAAAAHPZN+U=")</f>
        <v>#REF!</v>
      </c>
      <c r="HW23" s="1" t="e">
        <f>AND(#REF!,"AAAAAHPZN+Y=")</f>
        <v>#REF!</v>
      </c>
      <c r="HX23" s="1" t="e">
        <f>AND(#REF!,"AAAAAHPZN+c=")</f>
        <v>#REF!</v>
      </c>
      <c r="HY23" s="1" t="e">
        <f>AND(#REF!,"AAAAAHPZN+g=")</f>
        <v>#REF!</v>
      </c>
      <c r="HZ23" s="1" t="e">
        <f>AND(#REF!,"AAAAAHPZN+k=")</f>
        <v>#REF!</v>
      </c>
      <c r="IA23" s="1" t="e">
        <f>AND(#REF!,"AAAAAHPZN+o=")</f>
        <v>#REF!</v>
      </c>
      <c r="IB23" s="1" t="e">
        <f>AND(#REF!,"AAAAAHPZN+s=")</f>
        <v>#REF!</v>
      </c>
      <c r="IC23" s="1" t="e">
        <f>AND(#REF!,"AAAAAHPZN+w=")</f>
        <v>#REF!</v>
      </c>
      <c r="ID23" s="1" t="e">
        <f>AND(#REF!,"AAAAAHPZN+0=")</f>
        <v>#REF!</v>
      </c>
      <c r="IE23" s="1" t="e">
        <f>AND(#REF!,"AAAAAHPZN+4=")</f>
        <v>#REF!</v>
      </c>
      <c r="IF23" s="1" t="e">
        <f>AND(#REF!,"AAAAAHPZN+8=")</f>
        <v>#REF!</v>
      </c>
      <c r="IG23" s="1" t="e">
        <f>AND(#REF!,"AAAAAHPZN/A=")</f>
        <v>#REF!</v>
      </c>
      <c r="IH23" s="1" t="e">
        <f>AND(#REF!,"AAAAAHPZN/E=")</f>
        <v>#REF!</v>
      </c>
      <c r="II23" s="1" t="e">
        <f>AND(#REF!,"AAAAAHPZN/I=")</f>
        <v>#REF!</v>
      </c>
      <c r="IJ23" s="1" t="e">
        <f>AND(#REF!,"AAAAAHPZN/M=")</f>
        <v>#REF!</v>
      </c>
      <c r="IK23" s="1" t="e">
        <f>AND(#REF!,"AAAAAHPZN/Q=")</f>
        <v>#REF!</v>
      </c>
      <c r="IL23" s="1" t="e">
        <f>AND(#REF!,"AAAAAHPZN/U=")</f>
        <v>#REF!</v>
      </c>
      <c r="IM23" s="1" t="e">
        <f>AND(#REF!,"AAAAAHPZN/Y=")</f>
        <v>#REF!</v>
      </c>
      <c r="IN23" s="1" t="e">
        <f>AND(#REF!,"AAAAAHPZN/c=")</f>
        <v>#REF!</v>
      </c>
      <c r="IO23" s="1" t="e">
        <f>AND(#REF!,"AAAAAHPZN/g=")</f>
        <v>#REF!</v>
      </c>
      <c r="IP23" s="1" t="e">
        <f>AND(#REF!,"AAAAAHPZN/k=")</f>
        <v>#REF!</v>
      </c>
      <c r="IQ23" s="1" t="e">
        <f>AND(#REF!,"AAAAAHPZN/o=")</f>
        <v>#REF!</v>
      </c>
      <c r="IR23" s="1" t="e">
        <f>AND(#REF!,"AAAAAHPZN/s=")</f>
        <v>#REF!</v>
      </c>
      <c r="IS23" s="1" t="e">
        <f>AND(#REF!,"AAAAAHPZN/w=")</f>
        <v>#REF!</v>
      </c>
      <c r="IT23" s="1" t="e">
        <f>AND(#REF!,"AAAAAHPZN/0=")</f>
        <v>#REF!</v>
      </c>
      <c r="IU23" s="1" t="e">
        <f>AND(#REF!,"AAAAAHPZN/4=")</f>
        <v>#REF!</v>
      </c>
      <c r="IV23" s="1" t="e">
        <f>AND(#REF!,"AAAAAHPZN/8=")</f>
        <v>#REF!</v>
      </c>
    </row>
    <row r="24" spans="1:256" ht="15" customHeight="1" x14ac:dyDescent="0.2">
      <c r="A24" s="1" t="e">
        <f>AND(#REF!,"AAAAAD+/3wA=")</f>
        <v>#REF!</v>
      </c>
      <c r="B24" s="1" t="e">
        <f>AND(#REF!,"AAAAAD+/3wE=")</f>
        <v>#REF!</v>
      </c>
      <c r="C24" s="1" t="e">
        <f>AND(#REF!,"AAAAAD+/3wI=")</f>
        <v>#REF!</v>
      </c>
      <c r="D24" s="1" t="e">
        <f>AND(#REF!,"AAAAAD+/3wM=")</f>
        <v>#REF!</v>
      </c>
      <c r="E24" s="1" t="e">
        <f>AND(#REF!,"AAAAAD+/3wQ=")</f>
        <v>#REF!</v>
      </c>
      <c r="F24" s="1" t="e">
        <f>AND(#REF!,"AAAAAD+/3wU=")</f>
        <v>#REF!</v>
      </c>
      <c r="G24" s="1" t="e">
        <f>AND(#REF!,"AAAAAD+/3wY=")</f>
        <v>#REF!</v>
      </c>
      <c r="H24" s="1" t="e">
        <f>AND(#REF!,"AAAAAD+/3wc=")</f>
        <v>#REF!</v>
      </c>
      <c r="I24" s="1" t="e">
        <f>AND(#REF!,"AAAAAD+/3wg=")</f>
        <v>#REF!</v>
      </c>
      <c r="J24" s="1" t="e">
        <f>AND(#REF!,"AAAAAD+/3wk=")</f>
        <v>#REF!</v>
      </c>
      <c r="K24" s="1" t="e">
        <f>AND(#REF!,"AAAAAD+/3wo=")</f>
        <v>#REF!</v>
      </c>
      <c r="L24" s="1" t="e">
        <f>AND(#REF!,"AAAAAD+/3ws=")</f>
        <v>#REF!</v>
      </c>
      <c r="M24" s="1" t="e">
        <f>AND(#REF!,"AAAAAD+/3ww=")</f>
        <v>#REF!</v>
      </c>
      <c r="N24" s="1" t="e">
        <f>AND(#REF!,"AAAAAD+/3w0=")</f>
        <v>#REF!</v>
      </c>
      <c r="O24" s="1" t="e">
        <f>AND(#REF!,"AAAAAD+/3w4=")</f>
        <v>#REF!</v>
      </c>
      <c r="P24" s="1" t="e">
        <f>AND(#REF!,"AAAAAD+/3w8=")</f>
        <v>#REF!</v>
      </c>
      <c r="Q24" s="1" t="e">
        <f>AND(#REF!,"AAAAAD+/3xA=")</f>
        <v>#REF!</v>
      </c>
      <c r="R24" s="1" t="e">
        <f>AND(#REF!,"AAAAAD+/3xE=")</f>
        <v>#REF!</v>
      </c>
      <c r="S24" s="1" t="e">
        <f>AND(#REF!,"AAAAAD+/3xI=")</f>
        <v>#REF!</v>
      </c>
      <c r="T24" s="1" t="e">
        <f>AND(#REF!,"AAAAAD+/3xM=")</f>
        <v>#REF!</v>
      </c>
      <c r="U24" s="1" t="e">
        <f>AND(#REF!,"AAAAAD+/3xQ=")</f>
        <v>#REF!</v>
      </c>
      <c r="V24" s="1" t="e">
        <f>AND(#REF!,"AAAAAD+/3xU=")</f>
        <v>#REF!</v>
      </c>
      <c r="W24" s="1" t="e">
        <f>AND(#REF!,"AAAAAD+/3xY=")</f>
        <v>#REF!</v>
      </c>
      <c r="X24" s="1" t="e">
        <f>AND(#REF!,"AAAAAD+/3xc=")</f>
        <v>#REF!</v>
      </c>
      <c r="Y24" s="1" t="e">
        <f>AND(#REF!,"AAAAAD+/3xg=")</f>
        <v>#REF!</v>
      </c>
      <c r="Z24" s="1" t="e">
        <f>AND(#REF!,"AAAAAD+/3xk=")</f>
        <v>#REF!</v>
      </c>
      <c r="AA24" s="1" t="e">
        <f>AND(#REF!,"AAAAAD+/3xo=")</f>
        <v>#REF!</v>
      </c>
      <c r="AB24" s="1" t="e">
        <f>AND(#REF!,"AAAAAD+/3xs=")</f>
        <v>#REF!</v>
      </c>
      <c r="AC24" s="1" t="e">
        <f>AND(#REF!,"AAAAAD+/3xw=")</f>
        <v>#REF!</v>
      </c>
      <c r="AD24" s="1" t="e">
        <f>AND(#REF!,"AAAAAD+/3x0=")</f>
        <v>#REF!</v>
      </c>
      <c r="AE24" s="1" t="e">
        <f>AND(#REF!,"AAAAAD+/3x4=")</f>
        <v>#REF!</v>
      </c>
      <c r="AF24" s="1" t="e">
        <f>AND(#REF!,"AAAAAD+/3x8=")</f>
        <v>#REF!</v>
      </c>
      <c r="AG24" s="1" t="e">
        <f>AND(#REF!,"AAAAAD+/3yA=")</f>
        <v>#REF!</v>
      </c>
      <c r="AH24" s="1" t="e">
        <f>AND(#REF!,"AAAAAD+/3yE=")</f>
        <v>#REF!</v>
      </c>
      <c r="AI24" s="1" t="e">
        <f>AND(#REF!,"AAAAAD+/3yI=")</f>
        <v>#REF!</v>
      </c>
      <c r="AJ24" s="1" t="e">
        <f>AND(#REF!,"AAAAAD+/3yM=")</f>
        <v>#REF!</v>
      </c>
      <c r="AK24" s="1" t="e">
        <f>AND(#REF!,"AAAAAD+/3yQ=")</f>
        <v>#REF!</v>
      </c>
      <c r="AL24" s="1" t="e">
        <f>IF(#REF!,"AAAAAD+/3yU=",0)</f>
        <v>#REF!</v>
      </c>
      <c r="AM24" s="1" t="e">
        <f>AND(#REF!,"AAAAAD+/3yY=")</f>
        <v>#REF!</v>
      </c>
      <c r="AN24" s="1" t="e">
        <f>AND(#REF!,"AAAAAD+/3yc=")</f>
        <v>#REF!</v>
      </c>
      <c r="AO24" s="1" t="e">
        <f>AND(#REF!,"AAAAAD+/3yg=")</f>
        <v>#REF!</v>
      </c>
      <c r="AP24" s="1" t="e">
        <f>AND(#REF!,"AAAAAD+/3yk=")</f>
        <v>#REF!</v>
      </c>
      <c r="AQ24" s="1" t="e">
        <f>AND(#REF!,"AAAAAD+/3yo=")</f>
        <v>#REF!</v>
      </c>
      <c r="AR24" s="1" t="e">
        <f>AND(#REF!,"AAAAAD+/3ys=")</f>
        <v>#REF!</v>
      </c>
      <c r="AS24" s="1" t="e">
        <f>AND(#REF!,"AAAAAD+/3yw=")</f>
        <v>#REF!</v>
      </c>
      <c r="AT24" s="1" t="e">
        <f>AND(#REF!,"AAAAAD+/3y0=")</f>
        <v>#REF!</v>
      </c>
      <c r="AU24" s="1" t="e">
        <f>AND(#REF!,"AAAAAD+/3y4=")</f>
        <v>#REF!</v>
      </c>
      <c r="AV24" s="1" t="e">
        <f>AND(#REF!,"AAAAAD+/3y8=")</f>
        <v>#REF!</v>
      </c>
      <c r="AW24" s="1" t="e">
        <f>AND(#REF!,"AAAAAD+/3zA=")</f>
        <v>#REF!</v>
      </c>
      <c r="AX24" s="1" t="e">
        <f>AND(#REF!,"AAAAAD+/3zE=")</f>
        <v>#REF!</v>
      </c>
      <c r="AY24" s="1" t="e">
        <f>AND(#REF!,"AAAAAD+/3zI=")</f>
        <v>#REF!</v>
      </c>
      <c r="AZ24" s="1" t="e">
        <f>AND(#REF!,"AAAAAD+/3zM=")</f>
        <v>#REF!</v>
      </c>
      <c r="BA24" s="1" t="e">
        <f>AND(#REF!,"AAAAAD+/3zQ=")</f>
        <v>#REF!</v>
      </c>
      <c r="BB24" s="1" t="e">
        <f>AND(#REF!,"AAAAAD+/3zU=")</f>
        <v>#REF!</v>
      </c>
      <c r="BC24" s="1" t="e">
        <f>AND(#REF!,"AAAAAD+/3zY=")</f>
        <v>#REF!</v>
      </c>
      <c r="BD24" s="1" t="e">
        <f>AND(#REF!,"AAAAAD+/3zc=")</f>
        <v>#REF!</v>
      </c>
      <c r="BE24" s="1" t="e">
        <f>AND(#REF!,"AAAAAD+/3zg=")</f>
        <v>#REF!</v>
      </c>
      <c r="BF24" s="1" t="e">
        <f>AND(#REF!,"AAAAAD+/3zk=")</f>
        <v>#REF!</v>
      </c>
      <c r="BG24" s="1" t="e">
        <f>AND(#REF!,"AAAAAD+/3zo=")</f>
        <v>#REF!</v>
      </c>
      <c r="BH24" s="1" t="e">
        <f>AND(#REF!,"AAAAAD+/3zs=")</f>
        <v>#REF!</v>
      </c>
      <c r="BI24" s="1" t="e">
        <f>AND(#REF!,"AAAAAD+/3zw=")</f>
        <v>#REF!</v>
      </c>
      <c r="BJ24" s="1" t="e">
        <f>AND(#REF!,"AAAAAD+/3z0=")</f>
        <v>#REF!</v>
      </c>
      <c r="BK24" s="1" t="e">
        <f>AND(#REF!,"AAAAAD+/3z4=")</f>
        <v>#REF!</v>
      </c>
      <c r="BL24" s="1" t="e">
        <f>AND(#REF!,"AAAAAD+/3z8=")</f>
        <v>#REF!</v>
      </c>
      <c r="BM24" s="1" t="e">
        <f>AND(#REF!,"AAAAAD+/30A=")</f>
        <v>#REF!</v>
      </c>
      <c r="BN24" s="1" t="e">
        <f>AND(#REF!,"AAAAAD+/30E=")</f>
        <v>#REF!</v>
      </c>
      <c r="BO24" s="1" t="e">
        <f>AND(#REF!,"AAAAAD+/30I=")</f>
        <v>#REF!</v>
      </c>
      <c r="BP24" s="1" t="e">
        <f>AND(#REF!,"AAAAAD+/30M=")</f>
        <v>#REF!</v>
      </c>
      <c r="BQ24" s="1" t="e">
        <f>AND(#REF!,"AAAAAD+/30Q=")</f>
        <v>#REF!</v>
      </c>
      <c r="BR24" s="1" t="e">
        <f>AND(#REF!,"AAAAAD+/30U=")</f>
        <v>#REF!</v>
      </c>
      <c r="BS24" s="1" t="e">
        <f>AND(#REF!,"AAAAAD+/30Y=")</f>
        <v>#REF!</v>
      </c>
      <c r="BT24" s="1" t="e">
        <f>AND(#REF!,"AAAAAD+/30c=")</f>
        <v>#REF!</v>
      </c>
      <c r="BU24" s="1" t="e">
        <f>AND(#REF!,"AAAAAD+/30g=")</f>
        <v>#REF!</v>
      </c>
      <c r="BV24" s="1" t="e">
        <f>AND(#REF!,"AAAAAD+/30k=")</f>
        <v>#REF!</v>
      </c>
      <c r="BW24" s="1" t="e">
        <f>AND(#REF!,"AAAAAD+/30o=")</f>
        <v>#REF!</v>
      </c>
      <c r="BX24" s="1" t="e">
        <f>AND(#REF!,"AAAAAD+/30s=")</f>
        <v>#REF!</v>
      </c>
      <c r="BY24" s="1" t="e">
        <f>AND(#REF!,"AAAAAD+/30w=")</f>
        <v>#REF!</v>
      </c>
      <c r="BZ24" s="1" t="e">
        <f>AND(#REF!,"AAAAAD+/300=")</f>
        <v>#REF!</v>
      </c>
      <c r="CA24" s="1" t="e">
        <f>AND(#REF!,"AAAAAD+/304=")</f>
        <v>#REF!</v>
      </c>
      <c r="CB24" s="1" t="e">
        <f>AND(#REF!,"AAAAAD+/308=")</f>
        <v>#REF!</v>
      </c>
      <c r="CC24" s="1" t="e">
        <f>AND(#REF!,"AAAAAD+/31A=")</f>
        <v>#REF!</v>
      </c>
      <c r="CD24" s="1" t="e">
        <f>AND(#REF!,"AAAAAD+/31E=")</f>
        <v>#REF!</v>
      </c>
      <c r="CE24" s="1" t="e">
        <f>AND(#REF!,"AAAAAD+/31I=")</f>
        <v>#REF!</v>
      </c>
      <c r="CF24" s="1" t="e">
        <f>AND(#REF!,"AAAAAD+/31M=")</f>
        <v>#REF!</v>
      </c>
      <c r="CG24" s="1" t="e">
        <f>AND(#REF!,"AAAAAD+/31Q=")</f>
        <v>#REF!</v>
      </c>
      <c r="CH24" s="1" t="e">
        <f>AND(#REF!,"AAAAAD+/31U=")</f>
        <v>#REF!</v>
      </c>
      <c r="CI24" s="1" t="e">
        <f>AND(#REF!,"AAAAAD+/31Y=")</f>
        <v>#REF!</v>
      </c>
      <c r="CJ24" s="1" t="e">
        <f>AND(#REF!,"AAAAAD+/31c=")</f>
        <v>#REF!</v>
      </c>
      <c r="CK24" s="1" t="e">
        <f>AND(#REF!,"AAAAAD+/31g=")</f>
        <v>#REF!</v>
      </c>
      <c r="CL24" s="1" t="e">
        <f>AND(#REF!,"AAAAAD+/31k=")</f>
        <v>#REF!</v>
      </c>
      <c r="CM24" s="1" t="e">
        <f>AND(#REF!,"AAAAAD+/31o=")</f>
        <v>#REF!</v>
      </c>
      <c r="CN24" s="1" t="e">
        <f>AND(#REF!,"AAAAAD+/31s=")</f>
        <v>#REF!</v>
      </c>
      <c r="CO24" s="1" t="e">
        <f>AND(#REF!,"AAAAAD+/31w=")</f>
        <v>#REF!</v>
      </c>
      <c r="CP24" s="1" t="e">
        <f>AND(#REF!,"AAAAAD+/310=")</f>
        <v>#REF!</v>
      </c>
      <c r="CQ24" s="1" t="e">
        <f>AND(#REF!,"AAAAAD+/314=")</f>
        <v>#REF!</v>
      </c>
      <c r="CR24" s="1" t="e">
        <f>AND(#REF!,"AAAAAD+/318=")</f>
        <v>#REF!</v>
      </c>
      <c r="CS24" s="1" t="e">
        <f>AND(#REF!,"AAAAAD+/32A=")</f>
        <v>#REF!</v>
      </c>
      <c r="CT24" s="1" t="e">
        <f>AND(#REF!,"AAAAAD+/32E=")</f>
        <v>#REF!</v>
      </c>
      <c r="CU24" s="1" t="e">
        <f>AND(#REF!,"AAAAAD+/32I=")</f>
        <v>#REF!</v>
      </c>
      <c r="CV24" s="1" t="e">
        <f>AND(#REF!,"AAAAAD+/32M=")</f>
        <v>#REF!</v>
      </c>
      <c r="CW24" s="1" t="e">
        <f>AND(#REF!,"AAAAAD+/32Q=")</f>
        <v>#REF!</v>
      </c>
      <c r="CX24" s="1" t="e">
        <f>AND(#REF!,"AAAAAD+/32U=")</f>
        <v>#REF!</v>
      </c>
      <c r="CY24" s="1" t="e">
        <f>AND(#REF!,"AAAAAD+/32Y=")</f>
        <v>#REF!</v>
      </c>
      <c r="CZ24" s="1" t="e">
        <f>AND(#REF!,"AAAAAD+/32c=")</f>
        <v>#REF!</v>
      </c>
      <c r="DA24" s="1" t="e">
        <f>AND(#REF!,"AAAAAD+/32g=")</f>
        <v>#REF!</v>
      </c>
      <c r="DB24" s="1" t="e">
        <f>AND(#REF!,"AAAAAD+/32k=")</f>
        <v>#REF!</v>
      </c>
      <c r="DC24" s="1" t="e">
        <f>AND(#REF!,"AAAAAD+/32o=")</f>
        <v>#REF!</v>
      </c>
      <c r="DD24" s="1" t="e">
        <f>AND(#REF!,"AAAAAD+/32s=")</f>
        <v>#REF!</v>
      </c>
      <c r="DE24" s="1" t="e">
        <f>AND(#REF!,"AAAAAD+/32w=")</f>
        <v>#REF!</v>
      </c>
      <c r="DF24" s="1" t="e">
        <f>AND(#REF!,"AAAAAD+/320=")</f>
        <v>#REF!</v>
      </c>
      <c r="DG24" s="1" t="e">
        <f>AND(#REF!,"AAAAAD+/324=")</f>
        <v>#REF!</v>
      </c>
      <c r="DH24" s="1" t="e">
        <f>AND(#REF!,"AAAAAD+/328=")</f>
        <v>#REF!</v>
      </c>
      <c r="DI24" s="1" t="e">
        <f>AND(#REF!,"AAAAAD+/33A=")</f>
        <v>#REF!</v>
      </c>
      <c r="DJ24" s="1" t="e">
        <f>AND(#REF!,"AAAAAD+/33E=")</f>
        <v>#REF!</v>
      </c>
      <c r="DK24" s="1" t="e">
        <f>AND(#REF!,"AAAAAD+/33I=")</f>
        <v>#REF!</v>
      </c>
      <c r="DL24" s="1" t="e">
        <f>AND(#REF!,"AAAAAD+/33M=")</f>
        <v>#REF!</v>
      </c>
      <c r="DM24" s="1" t="e">
        <f>AND(#REF!,"AAAAAD+/33Q=")</f>
        <v>#REF!</v>
      </c>
      <c r="DN24" s="1" t="e">
        <f>AND(#REF!,"AAAAAD+/33U=")</f>
        <v>#REF!</v>
      </c>
      <c r="DO24" s="1" t="e">
        <f>AND(#REF!,"AAAAAD+/33Y=")</f>
        <v>#REF!</v>
      </c>
      <c r="DP24" s="1" t="e">
        <f>AND(#REF!,"AAAAAD+/33c=")</f>
        <v>#REF!</v>
      </c>
      <c r="DQ24" s="1" t="e">
        <f>AND(#REF!,"AAAAAD+/33g=")</f>
        <v>#REF!</v>
      </c>
      <c r="DR24" s="1" t="e">
        <f>AND(#REF!,"AAAAAD+/33k=")</f>
        <v>#REF!</v>
      </c>
      <c r="DS24" s="1" t="e">
        <f>AND(#REF!,"AAAAAD+/33o=")</f>
        <v>#REF!</v>
      </c>
      <c r="DT24" s="1" t="e">
        <f>AND(#REF!,"AAAAAD+/33s=")</f>
        <v>#REF!</v>
      </c>
      <c r="DU24" s="1" t="e">
        <f>AND(#REF!,"AAAAAD+/33w=")</f>
        <v>#REF!</v>
      </c>
      <c r="DV24" s="1" t="e">
        <f>AND(#REF!,"AAAAAD+/330=")</f>
        <v>#REF!</v>
      </c>
      <c r="DW24" s="1" t="e">
        <f>AND(#REF!,"AAAAAD+/334=")</f>
        <v>#REF!</v>
      </c>
      <c r="DX24" s="1" t="e">
        <f>AND(#REF!,"AAAAAD+/338=")</f>
        <v>#REF!</v>
      </c>
      <c r="DY24" s="1" t="e">
        <f>AND(#REF!,"AAAAAD+/34A=")</f>
        <v>#REF!</v>
      </c>
      <c r="DZ24" s="1" t="e">
        <f>AND(#REF!,"AAAAAD+/34E=")</f>
        <v>#REF!</v>
      </c>
      <c r="EA24" s="1" t="e">
        <f>AND(#REF!,"AAAAAD+/34I=")</f>
        <v>#REF!</v>
      </c>
      <c r="EB24" s="1" t="e">
        <f>AND(#REF!,"AAAAAD+/34M=")</f>
        <v>#REF!</v>
      </c>
      <c r="EC24" s="1" t="e">
        <f>AND(#REF!,"AAAAAD+/34Q=")</f>
        <v>#REF!</v>
      </c>
      <c r="ED24" s="1" t="e">
        <f>AND(#REF!,"AAAAAD+/34U=")</f>
        <v>#REF!</v>
      </c>
      <c r="EE24" s="1" t="e">
        <f>AND(#REF!,"AAAAAD+/34Y=")</f>
        <v>#REF!</v>
      </c>
      <c r="EF24" s="1" t="e">
        <f>AND(#REF!,"AAAAAD+/34c=")</f>
        <v>#REF!</v>
      </c>
      <c r="EG24" s="1" t="e">
        <f>AND(#REF!,"AAAAAD+/34g=")</f>
        <v>#REF!</v>
      </c>
      <c r="EH24" s="1" t="e">
        <f>AND(#REF!,"AAAAAD+/34k=")</f>
        <v>#REF!</v>
      </c>
      <c r="EI24" s="1" t="e">
        <f>AND(#REF!,"AAAAAD+/34o=")</f>
        <v>#REF!</v>
      </c>
      <c r="EJ24" s="1" t="e">
        <f>AND(#REF!,"AAAAAD+/34s=")</f>
        <v>#REF!</v>
      </c>
      <c r="EK24" s="1" t="e">
        <f>IF(#REF!,"AAAAAD+/34w=",0)</f>
        <v>#REF!</v>
      </c>
      <c r="EL24" s="1" t="e">
        <f>AND(#REF!,"AAAAAD+/340=")</f>
        <v>#REF!</v>
      </c>
      <c r="EM24" s="1" t="e">
        <f>AND(#REF!,"AAAAAD+/344=")</f>
        <v>#REF!</v>
      </c>
      <c r="EN24" s="1" t="e">
        <f>AND(#REF!,"AAAAAD+/348=")</f>
        <v>#REF!</v>
      </c>
      <c r="EO24" s="1" t="e">
        <f>AND(#REF!,"AAAAAD+/35A=")</f>
        <v>#REF!</v>
      </c>
      <c r="EP24" s="1" t="e">
        <f>AND(#REF!,"AAAAAD+/35E=")</f>
        <v>#REF!</v>
      </c>
      <c r="EQ24" s="1" t="e">
        <f>AND(#REF!,"AAAAAD+/35I=")</f>
        <v>#REF!</v>
      </c>
      <c r="ER24" s="1" t="e">
        <f>AND(#REF!,"AAAAAD+/35M=")</f>
        <v>#REF!</v>
      </c>
      <c r="ES24" s="1" t="e">
        <f>AND(#REF!,"AAAAAD+/35Q=")</f>
        <v>#REF!</v>
      </c>
      <c r="ET24" s="1" t="e">
        <f>AND(#REF!,"AAAAAD+/35U=")</f>
        <v>#REF!</v>
      </c>
      <c r="EU24" s="1" t="e">
        <f>AND(#REF!,"AAAAAD+/35Y=")</f>
        <v>#REF!</v>
      </c>
      <c r="EV24" s="1" t="e">
        <f>AND(#REF!,"AAAAAD+/35c=")</f>
        <v>#REF!</v>
      </c>
      <c r="EW24" s="1" t="e">
        <f>AND(#REF!,"AAAAAD+/35g=")</f>
        <v>#REF!</v>
      </c>
      <c r="EX24" s="1" t="e">
        <f>AND(#REF!,"AAAAAD+/35k=")</f>
        <v>#REF!</v>
      </c>
      <c r="EY24" s="1" t="e">
        <f>AND(#REF!,"AAAAAD+/35o=")</f>
        <v>#REF!</v>
      </c>
      <c r="EZ24" s="1" t="e">
        <f>AND(#REF!,"AAAAAD+/35s=")</f>
        <v>#REF!</v>
      </c>
      <c r="FA24" s="1" t="e">
        <f>AND(#REF!,"AAAAAD+/35w=")</f>
        <v>#REF!</v>
      </c>
      <c r="FB24" s="1" t="e">
        <f>AND(#REF!,"AAAAAD+/350=")</f>
        <v>#REF!</v>
      </c>
      <c r="FC24" s="1" t="e">
        <f>AND(#REF!,"AAAAAD+/354=")</f>
        <v>#REF!</v>
      </c>
      <c r="FD24" s="1" t="e">
        <f>AND(#REF!,"AAAAAD+/358=")</f>
        <v>#REF!</v>
      </c>
      <c r="FE24" s="1" t="e">
        <f>AND(#REF!,"AAAAAD+/36A=")</f>
        <v>#REF!</v>
      </c>
      <c r="FF24" s="1" t="e">
        <f>AND(#REF!,"AAAAAD+/36E=")</f>
        <v>#REF!</v>
      </c>
      <c r="FG24" s="1" t="e">
        <f>AND(#REF!,"AAAAAD+/36I=")</f>
        <v>#REF!</v>
      </c>
      <c r="FH24" s="1" t="e">
        <f>AND(#REF!,"AAAAAD+/36M=")</f>
        <v>#REF!</v>
      </c>
      <c r="FI24" s="1" t="e">
        <f>AND(#REF!,"AAAAAD+/36Q=")</f>
        <v>#REF!</v>
      </c>
      <c r="FJ24" s="1" t="e">
        <f>AND(#REF!,"AAAAAD+/36U=")</f>
        <v>#REF!</v>
      </c>
      <c r="FK24" s="1" t="e">
        <f>AND(#REF!,"AAAAAD+/36Y=")</f>
        <v>#REF!</v>
      </c>
      <c r="FL24" s="1" t="e">
        <f>AND(#REF!,"AAAAAD+/36c=")</f>
        <v>#REF!</v>
      </c>
      <c r="FM24" s="1" t="e">
        <f>AND(#REF!,"AAAAAD+/36g=")</f>
        <v>#REF!</v>
      </c>
      <c r="FN24" s="1" t="e">
        <f>AND(#REF!,"AAAAAD+/36k=")</f>
        <v>#REF!</v>
      </c>
      <c r="FO24" s="1" t="e">
        <f>AND(#REF!,"AAAAAD+/36o=")</f>
        <v>#REF!</v>
      </c>
      <c r="FP24" s="1" t="e">
        <f>AND(#REF!,"AAAAAD+/36s=")</f>
        <v>#REF!</v>
      </c>
      <c r="FQ24" s="1" t="e">
        <f>AND(#REF!,"AAAAAD+/36w=")</f>
        <v>#REF!</v>
      </c>
      <c r="FR24" s="1" t="e">
        <f>AND(#REF!,"AAAAAD+/360=")</f>
        <v>#REF!</v>
      </c>
      <c r="FS24" s="1" t="e">
        <f>AND(#REF!,"AAAAAD+/364=")</f>
        <v>#REF!</v>
      </c>
      <c r="FT24" s="1" t="e">
        <f>AND(#REF!,"AAAAAD+/368=")</f>
        <v>#REF!</v>
      </c>
      <c r="FU24" s="1" t="e">
        <f>AND(#REF!,"AAAAAD+/37A=")</f>
        <v>#REF!</v>
      </c>
      <c r="FV24" s="1" t="e">
        <f>AND(#REF!,"AAAAAD+/37E=")</f>
        <v>#REF!</v>
      </c>
      <c r="FW24" s="1" t="e">
        <f>AND(#REF!,"AAAAAD+/37I=")</f>
        <v>#REF!</v>
      </c>
      <c r="FX24" s="1" t="e">
        <f>AND(#REF!,"AAAAAD+/37M=")</f>
        <v>#REF!</v>
      </c>
      <c r="FY24" s="1" t="e">
        <f>AND(#REF!,"AAAAAD+/37Q=")</f>
        <v>#REF!</v>
      </c>
      <c r="FZ24" s="1" t="e">
        <f>AND(#REF!,"AAAAAD+/37U=")</f>
        <v>#REF!</v>
      </c>
      <c r="GA24" s="1" t="e">
        <f>AND(#REF!,"AAAAAD+/37Y=")</f>
        <v>#REF!</v>
      </c>
      <c r="GB24" s="1" t="e">
        <f>AND(#REF!,"AAAAAD+/37c=")</f>
        <v>#REF!</v>
      </c>
      <c r="GC24" s="1" t="e">
        <f>AND(#REF!,"AAAAAD+/37g=")</f>
        <v>#REF!</v>
      </c>
      <c r="GD24" s="1" t="e">
        <f>AND(#REF!,"AAAAAD+/37k=")</f>
        <v>#REF!</v>
      </c>
      <c r="GE24" s="1" t="e">
        <f>AND(#REF!,"AAAAAD+/37o=")</f>
        <v>#REF!</v>
      </c>
      <c r="GF24" s="1" t="e">
        <f>AND(#REF!,"AAAAAD+/37s=")</f>
        <v>#REF!</v>
      </c>
      <c r="GG24" s="1" t="e">
        <f>AND(#REF!,"AAAAAD+/37w=")</f>
        <v>#REF!</v>
      </c>
      <c r="GH24" s="1" t="e">
        <f>AND(#REF!,"AAAAAD+/370=")</f>
        <v>#REF!</v>
      </c>
      <c r="GI24" s="1" t="e">
        <f>AND(#REF!,"AAAAAD+/374=")</f>
        <v>#REF!</v>
      </c>
      <c r="GJ24" s="1" t="e">
        <f>AND(#REF!,"AAAAAD+/378=")</f>
        <v>#REF!</v>
      </c>
      <c r="GK24" s="1" t="e">
        <f>AND(#REF!,"AAAAAD+/38A=")</f>
        <v>#REF!</v>
      </c>
      <c r="GL24" s="1" t="e">
        <f>AND(#REF!,"AAAAAD+/38E=")</f>
        <v>#REF!</v>
      </c>
      <c r="GM24" s="1" t="e">
        <f>AND(#REF!,"AAAAAD+/38I=")</f>
        <v>#REF!</v>
      </c>
      <c r="GN24" s="1" t="e">
        <f>AND(#REF!,"AAAAAD+/38M=")</f>
        <v>#REF!</v>
      </c>
      <c r="GO24" s="1" t="e">
        <f>AND(#REF!,"AAAAAD+/38Q=")</f>
        <v>#REF!</v>
      </c>
      <c r="GP24" s="1" t="e">
        <f>AND(#REF!,"AAAAAD+/38U=")</f>
        <v>#REF!</v>
      </c>
      <c r="GQ24" s="1" t="e">
        <f>AND(#REF!,"AAAAAD+/38Y=")</f>
        <v>#REF!</v>
      </c>
      <c r="GR24" s="1" t="e">
        <f>AND(#REF!,"AAAAAD+/38c=")</f>
        <v>#REF!</v>
      </c>
      <c r="GS24" s="1" t="e">
        <f>AND(#REF!,"AAAAAD+/38g=")</f>
        <v>#REF!</v>
      </c>
      <c r="GT24" s="1" t="e">
        <f>AND(#REF!,"AAAAAD+/38k=")</f>
        <v>#REF!</v>
      </c>
      <c r="GU24" s="1" t="e">
        <f>AND(#REF!,"AAAAAD+/38o=")</f>
        <v>#REF!</v>
      </c>
      <c r="GV24" s="1" t="e">
        <f>AND(#REF!,"AAAAAD+/38s=")</f>
        <v>#REF!</v>
      </c>
      <c r="GW24" s="1" t="e">
        <f>AND(#REF!,"AAAAAD+/38w=")</f>
        <v>#REF!</v>
      </c>
      <c r="GX24" s="1" t="e">
        <f>AND(#REF!,"AAAAAD+/380=")</f>
        <v>#REF!</v>
      </c>
      <c r="GY24" s="1" t="e">
        <f>AND(#REF!,"AAAAAD+/384=")</f>
        <v>#REF!</v>
      </c>
      <c r="GZ24" s="1" t="e">
        <f>AND(#REF!,"AAAAAD+/388=")</f>
        <v>#REF!</v>
      </c>
      <c r="HA24" s="1" t="e">
        <f>AND(#REF!,"AAAAAD+/39A=")</f>
        <v>#REF!</v>
      </c>
      <c r="HB24" s="1" t="e">
        <f>AND(#REF!,"AAAAAD+/39E=")</f>
        <v>#REF!</v>
      </c>
      <c r="HC24" s="1" t="e">
        <f>AND(#REF!,"AAAAAD+/39I=")</f>
        <v>#REF!</v>
      </c>
      <c r="HD24" s="1" t="e">
        <f>AND(#REF!,"AAAAAD+/39M=")</f>
        <v>#REF!</v>
      </c>
      <c r="HE24" s="1" t="e">
        <f>AND(#REF!,"AAAAAD+/39Q=")</f>
        <v>#REF!</v>
      </c>
      <c r="HF24" s="1" t="e">
        <f>AND(#REF!,"AAAAAD+/39U=")</f>
        <v>#REF!</v>
      </c>
      <c r="HG24" s="1" t="e">
        <f>AND(#REF!,"AAAAAD+/39Y=")</f>
        <v>#REF!</v>
      </c>
      <c r="HH24" s="1" t="e">
        <f>AND(#REF!,"AAAAAD+/39c=")</f>
        <v>#REF!</v>
      </c>
      <c r="HI24" s="1" t="e">
        <f>AND(#REF!,"AAAAAD+/39g=")</f>
        <v>#REF!</v>
      </c>
      <c r="HJ24" s="1" t="e">
        <f>AND(#REF!,"AAAAAD+/39k=")</f>
        <v>#REF!</v>
      </c>
      <c r="HK24" s="1" t="e">
        <f>AND(#REF!,"AAAAAD+/39o=")</f>
        <v>#REF!</v>
      </c>
      <c r="HL24" s="1" t="e">
        <f>AND(#REF!,"AAAAAD+/39s=")</f>
        <v>#REF!</v>
      </c>
      <c r="HM24" s="1" t="e">
        <f>AND(#REF!,"AAAAAD+/39w=")</f>
        <v>#REF!</v>
      </c>
      <c r="HN24" s="1" t="e">
        <f>AND(#REF!,"AAAAAD+/390=")</f>
        <v>#REF!</v>
      </c>
      <c r="HO24" s="1" t="e">
        <f>AND(#REF!,"AAAAAD+/394=")</f>
        <v>#REF!</v>
      </c>
      <c r="HP24" s="1" t="e">
        <f>AND(#REF!,"AAAAAD+/398=")</f>
        <v>#REF!</v>
      </c>
      <c r="HQ24" s="1" t="e">
        <f>AND(#REF!,"AAAAAD+/3+A=")</f>
        <v>#REF!</v>
      </c>
      <c r="HR24" s="1" t="e">
        <f>AND(#REF!,"AAAAAD+/3+E=")</f>
        <v>#REF!</v>
      </c>
      <c r="HS24" s="1" t="e">
        <f>AND(#REF!,"AAAAAD+/3+I=")</f>
        <v>#REF!</v>
      </c>
      <c r="HT24" s="1" t="e">
        <f>AND(#REF!,"AAAAAD+/3+M=")</f>
        <v>#REF!</v>
      </c>
      <c r="HU24" s="1" t="e">
        <f>AND(#REF!,"AAAAAD+/3+Q=")</f>
        <v>#REF!</v>
      </c>
      <c r="HV24" s="1" t="e">
        <f>AND(#REF!,"AAAAAD+/3+U=")</f>
        <v>#REF!</v>
      </c>
      <c r="HW24" s="1" t="e">
        <f>AND(#REF!,"AAAAAD+/3+Y=")</f>
        <v>#REF!</v>
      </c>
      <c r="HX24" s="1" t="e">
        <f>AND(#REF!,"AAAAAD+/3+c=")</f>
        <v>#REF!</v>
      </c>
      <c r="HY24" s="1" t="e">
        <f>AND(#REF!,"AAAAAD+/3+g=")</f>
        <v>#REF!</v>
      </c>
      <c r="HZ24" s="1" t="e">
        <f>AND(#REF!,"AAAAAD+/3+k=")</f>
        <v>#REF!</v>
      </c>
      <c r="IA24" s="1" t="e">
        <f>AND(#REF!,"AAAAAD+/3+o=")</f>
        <v>#REF!</v>
      </c>
      <c r="IB24" s="1" t="e">
        <f>AND(#REF!,"AAAAAD+/3+s=")</f>
        <v>#REF!</v>
      </c>
      <c r="IC24" s="1" t="e">
        <f>AND(#REF!,"AAAAAD+/3+w=")</f>
        <v>#REF!</v>
      </c>
      <c r="ID24" s="1" t="e">
        <f>AND(#REF!,"AAAAAD+/3+0=")</f>
        <v>#REF!</v>
      </c>
      <c r="IE24" s="1" t="e">
        <f>AND(#REF!,"AAAAAD+/3+4=")</f>
        <v>#REF!</v>
      </c>
      <c r="IF24" s="1" t="e">
        <f>AND(#REF!,"AAAAAD+/3+8=")</f>
        <v>#REF!</v>
      </c>
      <c r="IG24" s="1" t="e">
        <f>AND(#REF!,"AAAAAD+/3/A=")</f>
        <v>#REF!</v>
      </c>
      <c r="IH24" s="1" t="e">
        <f>AND(#REF!,"AAAAAD+/3/E=")</f>
        <v>#REF!</v>
      </c>
      <c r="II24" s="1" t="e">
        <f>AND(#REF!,"AAAAAD+/3/I=")</f>
        <v>#REF!</v>
      </c>
      <c r="IJ24" s="1" t="e">
        <f>IF(#REF!,"AAAAAD+/3/M=",0)</f>
        <v>#REF!</v>
      </c>
      <c r="IK24" s="1" t="e">
        <f>AND(#REF!,"AAAAAD+/3/Q=")</f>
        <v>#REF!</v>
      </c>
      <c r="IL24" s="1" t="e">
        <f>AND(#REF!,"AAAAAD+/3/U=")</f>
        <v>#REF!</v>
      </c>
      <c r="IM24" s="1" t="e">
        <f>AND(#REF!,"AAAAAD+/3/Y=")</f>
        <v>#REF!</v>
      </c>
      <c r="IN24" s="1" t="e">
        <f>AND(#REF!,"AAAAAD+/3/c=")</f>
        <v>#REF!</v>
      </c>
      <c r="IO24" s="1" t="e">
        <f>AND(#REF!,"AAAAAD+/3/g=")</f>
        <v>#REF!</v>
      </c>
      <c r="IP24" s="1" t="e">
        <f>AND(#REF!,"AAAAAD+/3/k=")</f>
        <v>#REF!</v>
      </c>
      <c r="IQ24" s="1" t="e">
        <f>AND(#REF!,"AAAAAD+/3/o=")</f>
        <v>#REF!</v>
      </c>
      <c r="IR24" s="1" t="e">
        <f>AND(#REF!,"AAAAAD+/3/s=")</f>
        <v>#REF!</v>
      </c>
      <c r="IS24" s="1" t="e">
        <f>AND(#REF!,"AAAAAD+/3/w=")</f>
        <v>#REF!</v>
      </c>
      <c r="IT24" s="1" t="e">
        <f>AND(#REF!,"AAAAAD+/3/0=")</f>
        <v>#REF!</v>
      </c>
      <c r="IU24" s="1" t="e">
        <f>AND(#REF!,"AAAAAD+/3/4=")</f>
        <v>#REF!</v>
      </c>
      <c r="IV24" s="1" t="e">
        <f>AND(#REF!,"AAAAAD+/3/8=")</f>
        <v>#REF!</v>
      </c>
    </row>
    <row r="25" spans="1:256" ht="15" customHeight="1" x14ac:dyDescent="0.2">
      <c r="A25" s="1" t="e">
        <f>AND(#REF!,"AAAAAFx9vwA=")</f>
        <v>#REF!</v>
      </c>
      <c r="B25" s="1" t="e">
        <f>AND(#REF!,"AAAAAFx9vwE=")</f>
        <v>#REF!</v>
      </c>
      <c r="C25" s="1" t="e">
        <f>AND(#REF!,"AAAAAFx9vwI=")</f>
        <v>#REF!</v>
      </c>
      <c r="D25" s="1" t="e">
        <f>AND(#REF!,"AAAAAFx9vwM=")</f>
        <v>#REF!</v>
      </c>
      <c r="E25" s="1" t="e">
        <f>AND(#REF!,"AAAAAFx9vwQ=")</f>
        <v>#REF!</v>
      </c>
      <c r="F25" s="1" t="e">
        <f>AND(#REF!,"AAAAAFx9vwU=")</f>
        <v>#REF!</v>
      </c>
      <c r="G25" s="1" t="e">
        <f>AND(#REF!,"AAAAAFx9vwY=")</f>
        <v>#REF!</v>
      </c>
      <c r="H25" s="1" t="e">
        <f>AND(#REF!,"AAAAAFx9vwc=")</f>
        <v>#REF!</v>
      </c>
      <c r="I25" s="1" t="e">
        <f>AND(#REF!,"AAAAAFx9vwg=")</f>
        <v>#REF!</v>
      </c>
      <c r="J25" s="1" t="e">
        <f>AND(#REF!,"AAAAAFx9vwk=")</f>
        <v>#REF!</v>
      </c>
      <c r="K25" s="1" t="e">
        <f>AND(#REF!,"AAAAAFx9vwo=")</f>
        <v>#REF!</v>
      </c>
      <c r="L25" s="1" t="e">
        <f>AND(#REF!,"AAAAAFx9vws=")</f>
        <v>#REF!</v>
      </c>
      <c r="M25" s="1" t="e">
        <f>AND(#REF!,"AAAAAFx9vww=")</f>
        <v>#REF!</v>
      </c>
      <c r="N25" s="1" t="e">
        <f>AND(#REF!,"AAAAAFx9vw0=")</f>
        <v>#REF!</v>
      </c>
      <c r="O25" s="1" t="e">
        <f>AND(#REF!,"AAAAAFx9vw4=")</f>
        <v>#REF!</v>
      </c>
      <c r="P25" s="1" t="e">
        <f>AND(#REF!,"AAAAAFx9vw8=")</f>
        <v>#REF!</v>
      </c>
      <c r="Q25" s="1" t="e">
        <f>AND(#REF!,"AAAAAFx9vxA=")</f>
        <v>#REF!</v>
      </c>
      <c r="R25" s="1" t="e">
        <f>AND(#REF!,"AAAAAFx9vxE=")</f>
        <v>#REF!</v>
      </c>
      <c r="S25" s="1" t="e">
        <f>AND(#REF!,"AAAAAFx9vxI=")</f>
        <v>#REF!</v>
      </c>
      <c r="T25" s="1" t="e">
        <f>AND(#REF!,"AAAAAFx9vxM=")</f>
        <v>#REF!</v>
      </c>
      <c r="U25" s="1" t="e">
        <f>AND(#REF!,"AAAAAFx9vxQ=")</f>
        <v>#REF!</v>
      </c>
      <c r="V25" s="1" t="e">
        <f>AND(#REF!,"AAAAAFx9vxU=")</f>
        <v>#REF!</v>
      </c>
      <c r="W25" s="1" t="e">
        <f>AND(#REF!,"AAAAAFx9vxY=")</f>
        <v>#REF!</v>
      </c>
      <c r="X25" s="1" t="e">
        <f>AND(#REF!,"AAAAAFx9vxc=")</f>
        <v>#REF!</v>
      </c>
      <c r="Y25" s="1" t="e">
        <f>AND(#REF!,"AAAAAFx9vxg=")</f>
        <v>#REF!</v>
      </c>
      <c r="Z25" s="1" t="e">
        <f>AND(#REF!,"AAAAAFx9vxk=")</f>
        <v>#REF!</v>
      </c>
      <c r="AA25" s="1" t="e">
        <f>AND(#REF!,"AAAAAFx9vxo=")</f>
        <v>#REF!</v>
      </c>
      <c r="AB25" s="1" t="e">
        <f>AND(#REF!,"AAAAAFx9vxs=")</f>
        <v>#REF!</v>
      </c>
      <c r="AC25" s="1" t="e">
        <f>AND(#REF!,"AAAAAFx9vxw=")</f>
        <v>#REF!</v>
      </c>
      <c r="AD25" s="1" t="e">
        <f>AND(#REF!,"AAAAAFx9vx0=")</f>
        <v>#REF!</v>
      </c>
      <c r="AE25" s="1" t="e">
        <f>AND(#REF!,"AAAAAFx9vx4=")</f>
        <v>#REF!</v>
      </c>
      <c r="AF25" s="1" t="e">
        <f>AND(#REF!,"AAAAAFx9vx8=")</f>
        <v>#REF!</v>
      </c>
      <c r="AG25" s="1" t="e">
        <f>AND(#REF!,"AAAAAFx9vyA=")</f>
        <v>#REF!</v>
      </c>
      <c r="AH25" s="1" t="e">
        <f>AND(#REF!,"AAAAAFx9vyE=")</f>
        <v>#REF!</v>
      </c>
      <c r="AI25" s="1" t="e">
        <f>AND(#REF!,"AAAAAFx9vyI=")</f>
        <v>#REF!</v>
      </c>
      <c r="AJ25" s="1" t="e">
        <f>AND(#REF!,"AAAAAFx9vyM=")</f>
        <v>#REF!</v>
      </c>
      <c r="AK25" s="1" t="e">
        <f>AND(#REF!,"AAAAAFx9vyQ=")</f>
        <v>#REF!</v>
      </c>
      <c r="AL25" s="1" t="e">
        <f>AND(#REF!,"AAAAAFx9vyU=")</f>
        <v>#REF!</v>
      </c>
      <c r="AM25" s="1" t="e">
        <f>AND(#REF!,"AAAAAFx9vyY=")</f>
        <v>#REF!</v>
      </c>
      <c r="AN25" s="1" t="e">
        <f>AND(#REF!,"AAAAAFx9vyc=")</f>
        <v>#REF!</v>
      </c>
      <c r="AO25" s="1" t="e">
        <f>AND(#REF!,"AAAAAFx9vyg=")</f>
        <v>#REF!</v>
      </c>
      <c r="AP25" s="1" t="e">
        <f>AND(#REF!,"AAAAAFx9vyk=")</f>
        <v>#REF!</v>
      </c>
      <c r="AQ25" s="1" t="e">
        <f>AND(#REF!,"AAAAAFx9vyo=")</f>
        <v>#REF!</v>
      </c>
      <c r="AR25" s="1" t="e">
        <f>AND(#REF!,"AAAAAFx9vys=")</f>
        <v>#REF!</v>
      </c>
      <c r="AS25" s="1" t="e">
        <f>AND(#REF!,"AAAAAFx9vyw=")</f>
        <v>#REF!</v>
      </c>
      <c r="AT25" s="1" t="e">
        <f>AND(#REF!,"AAAAAFx9vy0=")</f>
        <v>#REF!</v>
      </c>
      <c r="AU25" s="1" t="e">
        <f>AND(#REF!,"AAAAAFx9vy4=")</f>
        <v>#REF!</v>
      </c>
      <c r="AV25" s="1" t="e">
        <f>AND(#REF!,"AAAAAFx9vy8=")</f>
        <v>#REF!</v>
      </c>
      <c r="AW25" s="1" t="e">
        <f>AND(#REF!,"AAAAAFx9vzA=")</f>
        <v>#REF!</v>
      </c>
      <c r="AX25" s="1" t="e">
        <f>AND(#REF!,"AAAAAFx9vzE=")</f>
        <v>#REF!</v>
      </c>
      <c r="AY25" s="1" t="e">
        <f>AND(#REF!,"AAAAAFx9vzI=")</f>
        <v>#REF!</v>
      </c>
      <c r="AZ25" s="1" t="e">
        <f>AND(#REF!,"AAAAAFx9vzM=")</f>
        <v>#REF!</v>
      </c>
      <c r="BA25" s="1" t="e">
        <f>AND(#REF!,"AAAAAFx9vzQ=")</f>
        <v>#REF!</v>
      </c>
      <c r="BB25" s="1" t="e">
        <f>AND(#REF!,"AAAAAFx9vzU=")</f>
        <v>#REF!</v>
      </c>
      <c r="BC25" s="1" t="e">
        <f>AND(#REF!,"AAAAAFx9vzY=")</f>
        <v>#REF!</v>
      </c>
      <c r="BD25" s="1" t="e">
        <f>AND(#REF!,"AAAAAFx9vzc=")</f>
        <v>#REF!</v>
      </c>
      <c r="BE25" s="1" t="e">
        <f>AND(#REF!,"AAAAAFx9vzg=")</f>
        <v>#REF!</v>
      </c>
      <c r="BF25" s="1" t="e">
        <f>AND(#REF!,"AAAAAFx9vzk=")</f>
        <v>#REF!</v>
      </c>
      <c r="BG25" s="1" t="e">
        <f>AND(#REF!,"AAAAAFx9vzo=")</f>
        <v>#REF!</v>
      </c>
      <c r="BH25" s="1" t="e">
        <f>AND(#REF!,"AAAAAFx9vzs=")</f>
        <v>#REF!</v>
      </c>
      <c r="BI25" s="1" t="e">
        <f>AND(#REF!,"AAAAAFx9vzw=")</f>
        <v>#REF!</v>
      </c>
      <c r="BJ25" s="1" t="e">
        <f>AND(#REF!,"AAAAAFx9vz0=")</f>
        <v>#REF!</v>
      </c>
      <c r="BK25" s="1" t="e">
        <f>AND(#REF!,"AAAAAFx9vz4=")</f>
        <v>#REF!</v>
      </c>
      <c r="BL25" s="1" t="e">
        <f>AND(#REF!,"AAAAAFx9vz8=")</f>
        <v>#REF!</v>
      </c>
      <c r="BM25" s="1" t="e">
        <f>AND(#REF!,"AAAAAFx9v0A=")</f>
        <v>#REF!</v>
      </c>
      <c r="BN25" s="1" t="e">
        <f>AND(#REF!,"AAAAAFx9v0E=")</f>
        <v>#REF!</v>
      </c>
      <c r="BO25" s="1" t="e">
        <f>AND(#REF!,"AAAAAFx9v0I=")</f>
        <v>#REF!</v>
      </c>
      <c r="BP25" s="1" t="e">
        <f>AND(#REF!,"AAAAAFx9v0M=")</f>
        <v>#REF!</v>
      </c>
      <c r="BQ25" s="1" t="e">
        <f>AND(#REF!,"AAAAAFx9v0Q=")</f>
        <v>#REF!</v>
      </c>
      <c r="BR25" s="1" t="e">
        <f>AND(#REF!,"AAAAAFx9v0U=")</f>
        <v>#REF!</v>
      </c>
      <c r="BS25" s="1" t="e">
        <f>AND(#REF!,"AAAAAFx9v0Y=")</f>
        <v>#REF!</v>
      </c>
      <c r="BT25" s="1" t="e">
        <f>AND(#REF!,"AAAAAFx9v0c=")</f>
        <v>#REF!</v>
      </c>
      <c r="BU25" s="1" t="e">
        <f>AND(#REF!,"AAAAAFx9v0g=")</f>
        <v>#REF!</v>
      </c>
      <c r="BV25" s="1" t="e">
        <f>AND(#REF!,"AAAAAFx9v0k=")</f>
        <v>#REF!</v>
      </c>
      <c r="BW25" s="1" t="e">
        <f>AND(#REF!,"AAAAAFx9v0o=")</f>
        <v>#REF!</v>
      </c>
      <c r="BX25" s="1" t="e">
        <f>AND(#REF!,"AAAAAFx9v0s=")</f>
        <v>#REF!</v>
      </c>
      <c r="BY25" s="1" t="e">
        <f>AND(#REF!,"AAAAAFx9v0w=")</f>
        <v>#REF!</v>
      </c>
      <c r="BZ25" s="1" t="e">
        <f>AND(#REF!,"AAAAAFx9v00=")</f>
        <v>#REF!</v>
      </c>
      <c r="CA25" s="1" t="e">
        <f>AND(#REF!,"AAAAAFx9v04=")</f>
        <v>#REF!</v>
      </c>
      <c r="CB25" s="1" t="e">
        <f>AND(#REF!,"AAAAAFx9v08=")</f>
        <v>#REF!</v>
      </c>
      <c r="CC25" s="1" t="e">
        <f>AND(#REF!,"AAAAAFx9v1A=")</f>
        <v>#REF!</v>
      </c>
      <c r="CD25" s="1" t="e">
        <f>AND(#REF!,"AAAAAFx9v1E=")</f>
        <v>#REF!</v>
      </c>
      <c r="CE25" s="1" t="e">
        <f>AND(#REF!,"AAAAAFx9v1I=")</f>
        <v>#REF!</v>
      </c>
      <c r="CF25" s="1" t="e">
        <f>AND(#REF!,"AAAAAFx9v1M=")</f>
        <v>#REF!</v>
      </c>
      <c r="CG25" s="1" t="e">
        <f>AND(#REF!,"AAAAAFx9v1Q=")</f>
        <v>#REF!</v>
      </c>
      <c r="CH25" s="1" t="e">
        <f>AND(#REF!,"AAAAAFx9v1U=")</f>
        <v>#REF!</v>
      </c>
      <c r="CI25" s="1" t="e">
        <f>AND(#REF!,"AAAAAFx9v1Y=")</f>
        <v>#REF!</v>
      </c>
      <c r="CJ25" s="1" t="e">
        <f>AND(#REF!,"AAAAAFx9v1c=")</f>
        <v>#REF!</v>
      </c>
      <c r="CK25" s="1" t="e">
        <f>AND(#REF!,"AAAAAFx9v1g=")</f>
        <v>#REF!</v>
      </c>
      <c r="CL25" s="1" t="e">
        <f>AND(#REF!,"AAAAAFx9v1k=")</f>
        <v>#REF!</v>
      </c>
      <c r="CM25" s="1" t="e">
        <f>IF(#REF!,"AAAAAFx9v1o=",0)</f>
        <v>#REF!</v>
      </c>
      <c r="CN25" s="1" t="e">
        <f>AND(#REF!,"AAAAAFx9v1s=")</f>
        <v>#REF!</v>
      </c>
      <c r="CO25" s="1" t="e">
        <f>AND(#REF!,"AAAAAFx9v1w=")</f>
        <v>#REF!</v>
      </c>
      <c r="CP25" s="1" t="e">
        <f>AND(#REF!,"AAAAAFx9v10=")</f>
        <v>#REF!</v>
      </c>
      <c r="CQ25" s="1" t="e">
        <f>AND(#REF!,"AAAAAFx9v14=")</f>
        <v>#REF!</v>
      </c>
      <c r="CR25" s="1" t="e">
        <f>AND(#REF!,"AAAAAFx9v18=")</f>
        <v>#REF!</v>
      </c>
      <c r="CS25" s="1" t="e">
        <f>AND(#REF!,"AAAAAFx9v2A=")</f>
        <v>#REF!</v>
      </c>
      <c r="CT25" s="1" t="e">
        <f>AND(#REF!,"AAAAAFx9v2E=")</f>
        <v>#REF!</v>
      </c>
      <c r="CU25" s="1" t="e">
        <f>AND(#REF!,"AAAAAFx9v2I=")</f>
        <v>#REF!</v>
      </c>
      <c r="CV25" s="1" t="e">
        <f>AND(#REF!,"AAAAAFx9v2M=")</f>
        <v>#REF!</v>
      </c>
      <c r="CW25" s="1" t="e">
        <f>AND(#REF!,"AAAAAFx9v2Q=")</f>
        <v>#REF!</v>
      </c>
      <c r="CX25" s="1" t="e">
        <f>AND(#REF!,"AAAAAFx9v2U=")</f>
        <v>#REF!</v>
      </c>
      <c r="CY25" s="1" t="e">
        <f>AND(#REF!,"AAAAAFx9v2Y=")</f>
        <v>#REF!</v>
      </c>
      <c r="CZ25" s="1" t="e">
        <f>AND(#REF!,"AAAAAFx9v2c=")</f>
        <v>#REF!</v>
      </c>
      <c r="DA25" s="1" t="e">
        <f>AND(#REF!,"AAAAAFx9v2g=")</f>
        <v>#REF!</v>
      </c>
      <c r="DB25" s="1" t="e">
        <f>AND(#REF!,"AAAAAFx9v2k=")</f>
        <v>#REF!</v>
      </c>
      <c r="DC25" s="1" t="e">
        <f>AND(#REF!,"AAAAAFx9v2o=")</f>
        <v>#REF!</v>
      </c>
      <c r="DD25" s="1" t="e">
        <f>AND(#REF!,"AAAAAFx9v2s=")</f>
        <v>#REF!</v>
      </c>
      <c r="DE25" s="1" t="e">
        <f>AND(#REF!,"AAAAAFx9v2w=")</f>
        <v>#REF!</v>
      </c>
      <c r="DF25" s="1" t="e">
        <f>AND(#REF!,"AAAAAFx9v20=")</f>
        <v>#REF!</v>
      </c>
      <c r="DG25" s="1" t="e">
        <f>AND(#REF!,"AAAAAFx9v24=")</f>
        <v>#REF!</v>
      </c>
      <c r="DH25" s="1" t="e">
        <f>AND(#REF!,"AAAAAFx9v28=")</f>
        <v>#REF!</v>
      </c>
      <c r="DI25" s="1" t="e">
        <f>AND(#REF!,"AAAAAFx9v3A=")</f>
        <v>#REF!</v>
      </c>
      <c r="DJ25" s="1" t="e">
        <f>AND(#REF!,"AAAAAFx9v3E=")</f>
        <v>#REF!</v>
      </c>
      <c r="DK25" s="1" t="e">
        <f>AND(#REF!,"AAAAAFx9v3I=")</f>
        <v>#REF!</v>
      </c>
      <c r="DL25" s="1" t="e">
        <f>AND(#REF!,"AAAAAFx9v3M=")</f>
        <v>#REF!</v>
      </c>
      <c r="DM25" s="1" t="e">
        <f>AND(#REF!,"AAAAAFx9v3Q=")</f>
        <v>#REF!</v>
      </c>
      <c r="DN25" s="1" t="e">
        <f>AND(#REF!,"AAAAAFx9v3U=")</f>
        <v>#REF!</v>
      </c>
      <c r="DO25" s="1" t="e">
        <f>AND(#REF!,"AAAAAFx9v3Y=")</f>
        <v>#REF!</v>
      </c>
      <c r="DP25" s="1" t="e">
        <f>AND(#REF!,"AAAAAFx9v3c=")</f>
        <v>#REF!</v>
      </c>
      <c r="DQ25" s="1" t="e">
        <f>AND(#REF!,"AAAAAFx9v3g=")</f>
        <v>#REF!</v>
      </c>
      <c r="DR25" s="1" t="e">
        <f>AND(#REF!,"AAAAAFx9v3k=")</f>
        <v>#REF!</v>
      </c>
      <c r="DS25" s="1" t="e">
        <f>AND(#REF!,"AAAAAFx9v3o=")</f>
        <v>#REF!</v>
      </c>
      <c r="DT25" s="1" t="e">
        <f>AND(#REF!,"AAAAAFx9v3s=")</f>
        <v>#REF!</v>
      </c>
      <c r="DU25" s="1" t="e">
        <f>AND(#REF!,"AAAAAFx9v3w=")</f>
        <v>#REF!</v>
      </c>
      <c r="DV25" s="1" t="e">
        <f>AND(#REF!,"AAAAAFx9v30=")</f>
        <v>#REF!</v>
      </c>
      <c r="DW25" s="1" t="e">
        <f>AND(#REF!,"AAAAAFx9v34=")</f>
        <v>#REF!</v>
      </c>
      <c r="DX25" s="1" t="e">
        <f>AND(#REF!,"AAAAAFx9v38=")</f>
        <v>#REF!</v>
      </c>
      <c r="DY25" s="1" t="e">
        <f>AND(#REF!,"AAAAAFx9v4A=")</f>
        <v>#REF!</v>
      </c>
      <c r="DZ25" s="1" t="e">
        <f>AND(#REF!,"AAAAAFx9v4E=")</f>
        <v>#REF!</v>
      </c>
      <c r="EA25" s="1" t="e">
        <f>AND(#REF!,"AAAAAFx9v4I=")</f>
        <v>#REF!</v>
      </c>
      <c r="EB25" s="1" t="e">
        <f>AND(#REF!,"AAAAAFx9v4M=")</f>
        <v>#REF!</v>
      </c>
      <c r="EC25" s="1" t="e">
        <f>AND(#REF!,"AAAAAFx9v4Q=")</f>
        <v>#REF!</v>
      </c>
      <c r="ED25" s="1" t="e">
        <f>AND(#REF!,"AAAAAFx9v4U=")</f>
        <v>#REF!</v>
      </c>
      <c r="EE25" s="1" t="e">
        <f>AND(#REF!,"AAAAAFx9v4Y=")</f>
        <v>#REF!</v>
      </c>
      <c r="EF25" s="1" t="e">
        <f>AND(#REF!,"AAAAAFx9v4c=")</f>
        <v>#REF!</v>
      </c>
      <c r="EG25" s="1" t="e">
        <f>AND(#REF!,"AAAAAFx9v4g=")</f>
        <v>#REF!</v>
      </c>
      <c r="EH25" s="1" t="e">
        <f>AND(#REF!,"AAAAAFx9v4k=")</f>
        <v>#REF!</v>
      </c>
      <c r="EI25" s="1" t="e">
        <f>AND(#REF!,"AAAAAFx9v4o=")</f>
        <v>#REF!</v>
      </c>
      <c r="EJ25" s="1" t="e">
        <f>AND(#REF!,"AAAAAFx9v4s=")</f>
        <v>#REF!</v>
      </c>
      <c r="EK25" s="1" t="e">
        <f>AND(#REF!,"AAAAAFx9v4w=")</f>
        <v>#REF!</v>
      </c>
      <c r="EL25" s="1" t="e">
        <f>AND(#REF!,"AAAAAFx9v40=")</f>
        <v>#REF!</v>
      </c>
      <c r="EM25" s="1" t="e">
        <f>AND(#REF!,"AAAAAFx9v44=")</f>
        <v>#REF!</v>
      </c>
      <c r="EN25" s="1" t="e">
        <f>AND(#REF!,"AAAAAFx9v48=")</f>
        <v>#REF!</v>
      </c>
      <c r="EO25" s="1" t="e">
        <f>AND(#REF!,"AAAAAFx9v5A=")</f>
        <v>#REF!</v>
      </c>
      <c r="EP25" s="1" t="e">
        <f>AND(#REF!,"AAAAAFx9v5E=")</f>
        <v>#REF!</v>
      </c>
      <c r="EQ25" s="1" t="e">
        <f>AND(#REF!,"AAAAAFx9v5I=")</f>
        <v>#REF!</v>
      </c>
      <c r="ER25" s="1" t="e">
        <f>AND(#REF!,"AAAAAFx9v5M=")</f>
        <v>#REF!</v>
      </c>
      <c r="ES25" s="1" t="e">
        <f>AND(#REF!,"AAAAAFx9v5Q=")</f>
        <v>#REF!</v>
      </c>
      <c r="ET25" s="1" t="e">
        <f>AND(#REF!,"AAAAAFx9v5U=")</f>
        <v>#REF!</v>
      </c>
      <c r="EU25" s="1" t="e">
        <f>AND(#REF!,"AAAAAFx9v5Y=")</f>
        <v>#REF!</v>
      </c>
      <c r="EV25" s="1" t="e">
        <f>AND(#REF!,"AAAAAFx9v5c=")</f>
        <v>#REF!</v>
      </c>
      <c r="EW25" s="1" t="e">
        <f>AND(#REF!,"AAAAAFx9v5g=")</f>
        <v>#REF!</v>
      </c>
      <c r="EX25" s="1" t="e">
        <f>AND(#REF!,"AAAAAFx9v5k=")</f>
        <v>#REF!</v>
      </c>
      <c r="EY25" s="1" t="e">
        <f>AND(#REF!,"AAAAAFx9v5o=")</f>
        <v>#REF!</v>
      </c>
      <c r="EZ25" s="1" t="e">
        <f>AND(#REF!,"AAAAAFx9v5s=")</f>
        <v>#REF!</v>
      </c>
      <c r="FA25" s="1" t="e">
        <f>AND(#REF!,"AAAAAFx9v5w=")</f>
        <v>#REF!</v>
      </c>
      <c r="FB25" s="1" t="e">
        <f>AND(#REF!,"AAAAAFx9v50=")</f>
        <v>#REF!</v>
      </c>
      <c r="FC25" s="1" t="e">
        <f>AND(#REF!,"AAAAAFx9v54=")</f>
        <v>#REF!</v>
      </c>
      <c r="FD25" s="1" t="e">
        <f>AND(#REF!,"AAAAAFx9v58=")</f>
        <v>#REF!</v>
      </c>
      <c r="FE25" s="1" t="e">
        <f>AND(#REF!,"AAAAAFx9v6A=")</f>
        <v>#REF!</v>
      </c>
      <c r="FF25" s="1" t="e">
        <f>AND(#REF!,"AAAAAFx9v6E=")</f>
        <v>#REF!</v>
      </c>
      <c r="FG25" s="1" t="e">
        <f>AND(#REF!,"AAAAAFx9v6I=")</f>
        <v>#REF!</v>
      </c>
      <c r="FH25" s="1" t="e">
        <f>AND(#REF!,"AAAAAFx9v6M=")</f>
        <v>#REF!</v>
      </c>
      <c r="FI25" s="1" t="e">
        <f>AND(#REF!,"AAAAAFx9v6Q=")</f>
        <v>#REF!</v>
      </c>
      <c r="FJ25" s="1" t="e">
        <f>AND(#REF!,"AAAAAFx9v6U=")</f>
        <v>#REF!</v>
      </c>
      <c r="FK25" s="1" t="e">
        <f>AND(#REF!,"AAAAAFx9v6Y=")</f>
        <v>#REF!</v>
      </c>
      <c r="FL25" s="1" t="e">
        <f>AND(#REF!,"AAAAAFx9v6c=")</f>
        <v>#REF!</v>
      </c>
      <c r="FM25" s="1" t="e">
        <f>AND(#REF!,"AAAAAFx9v6g=")</f>
        <v>#REF!</v>
      </c>
      <c r="FN25" s="1" t="e">
        <f>AND(#REF!,"AAAAAFx9v6k=")</f>
        <v>#REF!</v>
      </c>
      <c r="FO25" s="1" t="e">
        <f>AND(#REF!,"AAAAAFx9v6o=")</f>
        <v>#REF!</v>
      </c>
      <c r="FP25" s="1" t="e">
        <f>AND(#REF!,"AAAAAFx9v6s=")</f>
        <v>#REF!</v>
      </c>
      <c r="FQ25" s="1" t="e">
        <f>AND(#REF!,"AAAAAFx9v6w=")</f>
        <v>#REF!</v>
      </c>
      <c r="FR25" s="1" t="e">
        <f>AND(#REF!,"AAAAAFx9v60=")</f>
        <v>#REF!</v>
      </c>
      <c r="FS25" s="1" t="e">
        <f>AND(#REF!,"AAAAAFx9v64=")</f>
        <v>#REF!</v>
      </c>
      <c r="FT25" s="1" t="e">
        <f>AND(#REF!,"AAAAAFx9v68=")</f>
        <v>#REF!</v>
      </c>
      <c r="FU25" s="1" t="e">
        <f>AND(#REF!,"AAAAAFx9v7A=")</f>
        <v>#REF!</v>
      </c>
      <c r="FV25" s="1" t="e">
        <f>AND(#REF!,"AAAAAFx9v7E=")</f>
        <v>#REF!</v>
      </c>
      <c r="FW25" s="1" t="e">
        <f>AND(#REF!,"AAAAAFx9v7I=")</f>
        <v>#REF!</v>
      </c>
      <c r="FX25" s="1" t="e">
        <f>AND(#REF!,"AAAAAFx9v7M=")</f>
        <v>#REF!</v>
      </c>
      <c r="FY25" s="1" t="e">
        <f>AND(#REF!,"AAAAAFx9v7Q=")</f>
        <v>#REF!</v>
      </c>
      <c r="FZ25" s="1" t="e">
        <f>AND(#REF!,"AAAAAFx9v7U=")</f>
        <v>#REF!</v>
      </c>
      <c r="GA25" s="1" t="e">
        <f>AND(#REF!,"AAAAAFx9v7Y=")</f>
        <v>#REF!</v>
      </c>
      <c r="GB25" s="1" t="e">
        <f>AND(#REF!,"AAAAAFx9v7c=")</f>
        <v>#REF!</v>
      </c>
      <c r="GC25" s="1" t="e">
        <f>AND(#REF!,"AAAAAFx9v7g=")</f>
        <v>#REF!</v>
      </c>
      <c r="GD25" s="1" t="e">
        <f>AND(#REF!,"AAAAAFx9v7k=")</f>
        <v>#REF!</v>
      </c>
      <c r="GE25" s="1" t="e">
        <f>AND(#REF!,"AAAAAFx9v7o=")</f>
        <v>#REF!</v>
      </c>
      <c r="GF25" s="1" t="e">
        <f>AND(#REF!,"AAAAAFx9v7s=")</f>
        <v>#REF!</v>
      </c>
      <c r="GG25" s="1" t="e">
        <f>AND(#REF!,"AAAAAFx9v7w=")</f>
        <v>#REF!</v>
      </c>
      <c r="GH25" s="1" t="e">
        <f>AND(#REF!,"AAAAAFx9v70=")</f>
        <v>#REF!</v>
      </c>
      <c r="GI25" s="1" t="e">
        <f>AND(#REF!,"AAAAAFx9v74=")</f>
        <v>#REF!</v>
      </c>
      <c r="GJ25" s="1" t="e">
        <f>AND(#REF!,"AAAAAFx9v78=")</f>
        <v>#REF!</v>
      </c>
      <c r="GK25" s="1" t="e">
        <f>AND(#REF!,"AAAAAFx9v8A=")</f>
        <v>#REF!</v>
      </c>
      <c r="GL25" s="1" t="e">
        <f>IF(#REF!,"AAAAAFx9v8E=",0)</f>
        <v>#REF!</v>
      </c>
      <c r="GM25" s="1" t="e">
        <f>AND(#REF!,"AAAAAFx9v8I=")</f>
        <v>#REF!</v>
      </c>
      <c r="GN25" s="1" t="e">
        <f>AND(#REF!,"AAAAAFx9v8M=")</f>
        <v>#REF!</v>
      </c>
      <c r="GO25" s="1" t="e">
        <f>AND(#REF!,"AAAAAFx9v8Q=")</f>
        <v>#REF!</v>
      </c>
      <c r="GP25" s="1" t="e">
        <f>AND(#REF!,"AAAAAFx9v8U=")</f>
        <v>#REF!</v>
      </c>
      <c r="GQ25" s="1" t="e">
        <f>AND(#REF!,"AAAAAFx9v8Y=")</f>
        <v>#REF!</v>
      </c>
      <c r="GR25" s="1" t="e">
        <f>AND(#REF!,"AAAAAFx9v8c=")</f>
        <v>#REF!</v>
      </c>
      <c r="GS25" s="1" t="e">
        <f>AND(#REF!,"AAAAAFx9v8g=")</f>
        <v>#REF!</v>
      </c>
      <c r="GT25" s="1" t="e">
        <f>AND(#REF!,"AAAAAFx9v8k=")</f>
        <v>#REF!</v>
      </c>
      <c r="GU25" s="1" t="e">
        <f>AND(#REF!,"AAAAAFx9v8o=")</f>
        <v>#REF!</v>
      </c>
      <c r="GV25" s="1" t="e">
        <f>AND(#REF!,"AAAAAFx9v8s=")</f>
        <v>#REF!</v>
      </c>
      <c r="GW25" s="1" t="e">
        <f>AND(#REF!,"AAAAAFx9v8w=")</f>
        <v>#REF!</v>
      </c>
      <c r="GX25" s="1" t="e">
        <f>AND(#REF!,"AAAAAFx9v80=")</f>
        <v>#REF!</v>
      </c>
      <c r="GY25" s="1" t="e">
        <f>AND(#REF!,"AAAAAFx9v84=")</f>
        <v>#REF!</v>
      </c>
      <c r="GZ25" s="1" t="e">
        <f>AND(#REF!,"AAAAAFx9v88=")</f>
        <v>#REF!</v>
      </c>
      <c r="HA25" s="1" t="e">
        <f>AND(#REF!,"AAAAAFx9v9A=")</f>
        <v>#REF!</v>
      </c>
      <c r="HB25" s="1" t="e">
        <f>AND(#REF!,"AAAAAFx9v9E=")</f>
        <v>#REF!</v>
      </c>
      <c r="HC25" s="1" t="e">
        <f>AND(#REF!,"AAAAAFx9v9I=")</f>
        <v>#REF!</v>
      </c>
      <c r="HD25" s="1" t="e">
        <f>AND(#REF!,"AAAAAFx9v9M=")</f>
        <v>#REF!</v>
      </c>
      <c r="HE25" s="1" t="e">
        <f>AND(#REF!,"AAAAAFx9v9Q=")</f>
        <v>#REF!</v>
      </c>
      <c r="HF25" s="1" t="e">
        <f>AND(#REF!,"AAAAAFx9v9U=")</f>
        <v>#REF!</v>
      </c>
      <c r="HG25" s="1" t="e">
        <f>AND(#REF!,"AAAAAFx9v9Y=")</f>
        <v>#REF!</v>
      </c>
      <c r="HH25" s="1" t="e">
        <f>AND(#REF!,"AAAAAFx9v9c=")</f>
        <v>#REF!</v>
      </c>
      <c r="HI25" s="1" t="e">
        <f>AND(#REF!,"AAAAAFx9v9g=")</f>
        <v>#REF!</v>
      </c>
      <c r="HJ25" s="1" t="e">
        <f>AND(#REF!,"AAAAAFx9v9k=")</f>
        <v>#REF!</v>
      </c>
      <c r="HK25" s="1" t="e">
        <f>AND(#REF!,"AAAAAFx9v9o=")</f>
        <v>#REF!</v>
      </c>
      <c r="HL25" s="1" t="e">
        <f>AND(#REF!,"AAAAAFx9v9s=")</f>
        <v>#REF!</v>
      </c>
      <c r="HM25" s="1" t="e">
        <f>AND(#REF!,"AAAAAFx9v9w=")</f>
        <v>#REF!</v>
      </c>
      <c r="HN25" s="1" t="e">
        <f>AND(#REF!,"AAAAAFx9v90=")</f>
        <v>#REF!</v>
      </c>
      <c r="HO25" s="1" t="e">
        <f>AND(#REF!,"AAAAAFx9v94=")</f>
        <v>#REF!</v>
      </c>
      <c r="HP25" s="1" t="e">
        <f>AND(#REF!,"AAAAAFx9v98=")</f>
        <v>#REF!</v>
      </c>
      <c r="HQ25" s="1" t="e">
        <f>AND(#REF!,"AAAAAFx9v+A=")</f>
        <v>#REF!</v>
      </c>
      <c r="HR25" s="1" t="e">
        <f>AND(#REF!,"AAAAAFx9v+E=")</f>
        <v>#REF!</v>
      </c>
      <c r="HS25" s="1" t="e">
        <f>AND(#REF!,"AAAAAFx9v+I=")</f>
        <v>#REF!</v>
      </c>
      <c r="HT25" s="1" t="e">
        <f>AND(#REF!,"AAAAAFx9v+M=")</f>
        <v>#REF!</v>
      </c>
      <c r="HU25" s="1" t="e">
        <f>AND(#REF!,"AAAAAFx9v+Q=")</f>
        <v>#REF!</v>
      </c>
      <c r="HV25" s="1" t="e">
        <f>AND(#REF!,"AAAAAFx9v+U=")</f>
        <v>#REF!</v>
      </c>
      <c r="HW25" s="1" t="e">
        <f>AND(#REF!,"AAAAAFx9v+Y=")</f>
        <v>#REF!</v>
      </c>
      <c r="HX25" s="1" t="e">
        <f>AND(#REF!,"AAAAAFx9v+c=")</f>
        <v>#REF!</v>
      </c>
      <c r="HY25" s="1" t="e">
        <f>AND(#REF!,"AAAAAFx9v+g=")</f>
        <v>#REF!</v>
      </c>
      <c r="HZ25" s="1" t="e">
        <f>AND(#REF!,"AAAAAFx9v+k=")</f>
        <v>#REF!</v>
      </c>
      <c r="IA25" s="1" t="e">
        <f>AND(#REF!,"AAAAAFx9v+o=")</f>
        <v>#REF!</v>
      </c>
      <c r="IB25" s="1" t="e">
        <f>AND(#REF!,"AAAAAFx9v+s=")</f>
        <v>#REF!</v>
      </c>
      <c r="IC25" s="1" t="e">
        <f>AND(#REF!,"AAAAAFx9v+w=")</f>
        <v>#REF!</v>
      </c>
      <c r="ID25" s="1" t="e">
        <f>AND(#REF!,"AAAAAFx9v+0=")</f>
        <v>#REF!</v>
      </c>
      <c r="IE25" s="1" t="e">
        <f>AND(#REF!,"AAAAAFx9v+4=")</f>
        <v>#REF!</v>
      </c>
      <c r="IF25" s="1" t="e">
        <f>AND(#REF!,"AAAAAFx9v+8=")</f>
        <v>#REF!</v>
      </c>
      <c r="IG25" s="1" t="e">
        <f>AND(#REF!,"AAAAAFx9v/A=")</f>
        <v>#REF!</v>
      </c>
      <c r="IH25" s="1" t="e">
        <f>AND(#REF!,"AAAAAFx9v/E=")</f>
        <v>#REF!</v>
      </c>
      <c r="II25" s="1" t="e">
        <f>AND(#REF!,"AAAAAFx9v/I=")</f>
        <v>#REF!</v>
      </c>
      <c r="IJ25" s="1" t="e">
        <f>AND(#REF!,"AAAAAFx9v/M=")</f>
        <v>#REF!</v>
      </c>
      <c r="IK25" s="1" t="e">
        <f>AND(#REF!,"AAAAAFx9v/Q=")</f>
        <v>#REF!</v>
      </c>
      <c r="IL25" s="1" t="e">
        <f>AND(#REF!,"AAAAAFx9v/U=")</f>
        <v>#REF!</v>
      </c>
      <c r="IM25" s="1" t="e">
        <f>AND(#REF!,"AAAAAFx9v/Y=")</f>
        <v>#REF!</v>
      </c>
      <c r="IN25" s="1" t="e">
        <f>AND(#REF!,"AAAAAFx9v/c=")</f>
        <v>#REF!</v>
      </c>
      <c r="IO25" s="1" t="e">
        <f>AND(#REF!,"AAAAAFx9v/g=")</f>
        <v>#REF!</v>
      </c>
      <c r="IP25" s="1" t="e">
        <f>AND(#REF!,"AAAAAFx9v/k=")</f>
        <v>#REF!</v>
      </c>
      <c r="IQ25" s="1" t="e">
        <f>AND(#REF!,"AAAAAFx9v/o=")</f>
        <v>#REF!</v>
      </c>
      <c r="IR25" s="1" t="e">
        <f>AND(#REF!,"AAAAAFx9v/s=")</f>
        <v>#REF!</v>
      </c>
      <c r="IS25" s="1" t="e">
        <f>AND(#REF!,"AAAAAFx9v/w=")</f>
        <v>#REF!</v>
      </c>
      <c r="IT25" s="1" t="e">
        <f>AND(#REF!,"AAAAAFx9v/0=")</f>
        <v>#REF!</v>
      </c>
      <c r="IU25" s="1" t="e">
        <f>AND(#REF!,"AAAAAFx9v/4=")</f>
        <v>#REF!</v>
      </c>
      <c r="IV25" s="1" t="e">
        <f>AND(#REF!,"AAAAAFx9v/8=")</f>
        <v>#REF!</v>
      </c>
    </row>
    <row r="26" spans="1:256" ht="15" customHeight="1" x14ac:dyDescent="0.2">
      <c r="A26" s="1" t="e">
        <f>AND(#REF!,"AAAAADt25wA=")</f>
        <v>#REF!</v>
      </c>
      <c r="B26" s="1" t="e">
        <f>AND(#REF!,"AAAAADt25wE=")</f>
        <v>#REF!</v>
      </c>
      <c r="C26" s="1" t="e">
        <f>AND(#REF!,"AAAAADt25wI=")</f>
        <v>#REF!</v>
      </c>
      <c r="D26" s="1" t="e">
        <f>AND(#REF!,"AAAAADt25wM=")</f>
        <v>#REF!</v>
      </c>
      <c r="E26" s="1" t="e">
        <f>AND(#REF!,"AAAAADt25wQ=")</f>
        <v>#REF!</v>
      </c>
      <c r="F26" s="1" t="e">
        <f>AND(#REF!,"AAAAADt25wU=")</f>
        <v>#REF!</v>
      </c>
      <c r="G26" s="1" t="e">
        <f>AND(#REF!,"AAAAADt25wY=")</f>
        <v>#REF!</v>
      </c>
      <c r="H26" s="1" t="e">
        <f>AND(#REF!,"AAAAADt25wc=")</f>
        <v>#REF!</v>
      </c>
      <c r="I26" s="1" t="e">
        <f>AND(#REF!,"AAAAADt25wg=")</f>
        <v>#REF!</v>
      </c>
      <c r="J26" s="1" t="e">
        <f>AND(#REF!,"AAAAADt25wk=")</f>
        <v>#REF!</v>
      </c>
      <c r="K26" s="1" t="e">
        <f>AND(#REF!,"AAAAADt25wo=")</f>
        <v>#REF!</v>
      </c>
      <c r="L26" s="1" t="e">
        <f>AND(#REF!,"AAAAADt25ws=")</f>
        <v>#REF!</v>
      </c>
      <c r="M26" s="1" t="e">
        <f>AND(#REF!,"AAAAADt25ww=")</f>
        <v>#REF!</v>
      </c>
      <c r="N26" s="1" t="e">
        <f>AND(#REF!,"AAAAADt25w0=")</f>
        <v>#REF!</v>
      </c>
      <c r="O26" s="1" t="e">
        <f>AND(#REF!,"AAAAADt25w4=")</f>
        <v>#REF!</v>
      </c>
      <c r="P26" s="1" t="e">
        <f>AND(#REF!,"AAAAADt25w8=")</f>
        <v>#REF!</v>
      </c>
      <c r="Q26" s="1" t="e">
        <f>AND(#REF!,"AAAAADt25xA=")</f>
        <v>#REF!</v>
      </c>
      <c r="R26" s="1" t="e">
        <f>AND(#REF!,"AAAAADt25xE=")</f>
        <v>#REF!</v>
      </c>
      <c r="S26" s="1" t="e">
        <f>AND(#REF!,"AAAAADt25xI=")</f>
        <v>#REF!</v>
      </c>
      <c r="T26" s="1" t="e">
        <f>AND(#REF!,"AAAAADt25xM=")</f>
        <v>#REF!</v>
      </c>
      <c r="U26" s="1" t="e">
        <f>AND(#REF!,"AAAAADt25xQ=")</f>
        <v>#REF!</v>
      </c>
      <c r="V26" s="1" t="e">
        <f>AND(#REF!,"AAAAADt25xU=")</f>
        <v>#REF!</v>
      </c>
      <c r="W26" s="1" t="e">
        <f>AND(#REF!,"AAAAADt25xY=")</f>
        <v>#REF!</v>
      </c>
      <c r="X26" s="1" t="e">
        <f>AND(#REF!,"AAAAADt25xc=")</f>
        <v>#REF!</v>
      </c>
      <c r="Y26" s="1" t="e">
        <f>AND(#REF!,"AAAAADt25xg=")</f>
        <v>#REF!</v>
      </c>
      <c r="Z26" s="1" t="e">
        <f>AND(#REF!,"AAAAADt25xk=")</f>
        <v>#REF!</v>
      </c>
      <c r="AA26" s="1" t="e">
        <f>AND(#REF!,"AAAAADt25xo=")</f>
        <v>#REF!</v>
      </c>
      <c r="AB26" s="1" t="e">
        <f>AND(#REF!,"AAAAADt25xs=")</f>
        <v>#REF!</v>
      </c>
      <c r="AC26" s="1" t="e">
        <f>AND(#REF!,"AAAAADt25xw=")</f>
        <v>#REF!</v>
      </c>
      <c r="AD26" s="1" t="e">
        <f>AND(#REF!,"AAAAADt25x0=")</f>
        <v>#REF!</v>
      </c>
      <c r="AE26" s="1" t="e">
        <f>AND(#REF!,"AAAAADt25x4=")</f>
        <v>#REF!</v>
      </c>
      <c r="AF26" s="1" t="e">
        <f>AND(#REF!,"AAAAADt25x8=")</f>
        <v>#REF!</v>
      </c>
      <c r="AG26" s="1" t="e">
        <f>AND(#REF!,"AAAAADt25yA=")</f>
        <v>#REF!</v>
      </c>
      <c r="AH26" s="1" t="e">
        <f>AND(#REF!,"AAAAADt25yE=")</f>
        <v>#REF!</v>
      </c>
      <c r="AI26" s="1" t="e">
        <f>AND(#REF!,"AAAAADt25yI=")</f>
        <v>#REF!</v>
      </c>
      <c r="AJ26" s="1" t="e">
        <f>AND(#REF!,"AAAAADt25yM=")</f>
        <v>#REF!</v>
      </c>
      <c r="AK26" s="1" t="e">
        <f>AND(#REF!,"AAAAADt25yQ=")</f>
        <v>#REF!</v>
      </c>
      <c r="AL26" s="1" t="e">
        <f>AND(#REF!,"AAAAADt25yU=")</f>
        <v>#REF!</v>
      </c>
      <c r="AM26" s="1" t="e">
        <f>AND(#REF!,"AAAAADt25yY=")</f>
        <v>#REF!</v>
      </c>
      <c r="AN26" s="1" t="e">
        <f>AND(#REF!,"AAAAADt25yc=")</f>
        <v>#REF!</v>
      </c>
      <c r="AO26" s="1" t="e">
        <f>IF(#REF!,"AAAAADt25yg=",0)</f>
        <v>#REF!</v>
      </c>
      <c r="AP26" s="1" t="e">
        <f>AND(#REF!,"AAAAADt25yk=")</f>
        <v>#REF!</v>
      </c>
      <c r="AQ26" s="1" t="e">
        <f>AND(#REF!,"AAAAADt25yo=")</f>
        <v>#REF!</v>
      </c>
      <c r="AR26" s="1" t="e">
        <f>AND(#REF!,"AAAAADt25ys=")</f>
        <v>#REF!</v>
      </c>
      <c r="AS26" s="1" t="e">
        <f>AND(#REF!,"AAAAADt25yw=")</f>
        <v>#REF!</v>
      </c>
      <c r="AT26" s="1" t="e">
        <f>AND(#REF!,"AAAAADt25y0=")</f>
        <v>#REF!</v>
      </c>
      <c r="AU26" s="1" t="e">
        <f>AND(#REF!,"AAAAADt25y4=")</f>
        <v>#REF!</v>
      </c>
      <c r="AV26" s="1" t="e">
        <f>AND(#REF!,"AAAAADt25y8=")</f>
        <v>#REF!</v>
      </c>
      <c r="AW26" s="1" t="e">
        <f>AND(#REF!,"AAAAADt25zA=")</f>
        <v>#REF!</v>
      </c>
      <c r="AX26" s="1" t="e">
        <f>AND(#REF!,"AAAAADt25zE=")</f>
        <v>#REF!</v>
      </c>
      <c r="AY26" s="1" t="e">
        <f>AND(#REF!,"AAAAADt25zI=")</f>
        <v>#REF!</v>
      </c>
      <c r="AZ26" s="1" t="e">
        <f>AND(#REF!,"AAAAADt25zM=")</f>
        <v>#REF!</v>
      </c>
      <c r="BA26" s="1" t="e">
        <f>AND(#REF!,"AAAAADt25zQ=")</f>
        <v>#REF!</v>
      </c>
      <c r="BB26" s="1" t="e">
        <f>AND(#REF!,"AAAAADt25zU=")</f>
        <v>#REF!</v>
      </c>
      <c r="BC26" s="1" t="e">
        <f>AND(#REF!,"AAAAADt25zY=")</f>
        <v>#REF!</v>
      </c>
      <c r="BD26" s="1" t="e">
        <f>AND(#REF!,"AAAAADt25zc=")</f>
        <v>#REF!</v>
      </c>
      <c r="BE26" s="1" t="e">
        <f>AND(#REF!,"AAAAADt25zg=")</f>
        <v>#REF!</v>
      </c>
      <c r="BF26" s="1" t="e">
        <f>AND(#REF!,"AAAAADt25zk=")</f>
        <v>#REF!</v>
      </c>
      <c r="BG26" s="1" t="e">
        <f>AND(#REF!,"AAAAADt25zo=")</f>
        <v>#REF!</v>
      </c>
      <c r="BH26" s="1" t="e">
        <f>AND(#REF!,"AAAAADt25zs=")</f>
        <v>#REF!</v>
      </c>
      <c r="BI26" s="1" t="e">
        <f>AND(#REF!,"AAAAADt25zw=")</f>
        <v>#REF!</v>
      </c>
      <c r="BJ26" s="1" t="e">
        <f>AND(#REF!,"AAAAADt25z0=")</f>
        <v>#REF!</v>
      </c>
      <c r="BK26" s="1" t="e">
        <f>AND(#REF!,"AAAAADt25z4=")</f>
        <v>#REF!</v>
      </c>
      <c r="BL26" s="1" t="e">
        <f>AND(#REF!,"AAAAADt25z8=")</f>
        <v>#REF!</v>
      </c>
      <c r="BM26" s="1" t="e">
        <f>AND(#REF!,"AAAAADt250A=")</f>
        <v>#REF!</v>
      </c>
      <c r="BN26" s="1" t="e">
        <f>AND(#REF!,"AAAAADt250E=")</f>
        <v>#REF!</v>
      </c>
      <c r="BO26" s="1" t="e">
        <f>AND(#REF!,"AAAAADt250I=")</f>
        <v>#REF!</v>
      </c>
      <c r="BP26" s="1" t="e">
        <f>AND(#REF!,"AAAAADt250M=")</f>
        <v>#REF!</v>
      </c>
      <c r="BQ26" s="1" t="e">
        <f>AND(#REF!,"AAAAADt250Q=")</f>
        <v>#REF!</v>
      </c>
      <c r="BR26" s="1" t="e">
        <f>AND(#REF!,"AAAAADt250U=")</f>
        <v>#REF!</v>
      </c>
      <c r="BS26" s="1" t="e">
        <f>AND(#REF!,"AAAAADt250Y=")</f>
        <v>#REF!</v>
      </c>
      <c r="BT26" s="1" t="e">
        <f>AND(#REF!,"AAAAADt250c=")</f>
        <v>#REF!</v>
      </c>
      <c r="BU26" s="1" t="e">
        <f>AND(#REF!,"AAAAADt250g=")</f>
        <v>#REF!</v>
      </c>
      <c r="BV26" s="1" t="e">
        <f>AND(#REF!,"AAAAADt250k=")</f>
        <v>#REF!</v>
      </c>
      <c r="BW26" s="1" t="e">
        <f>AND(#REF!,"AAAAADt250o=")</f>
        <v>#REF!</v>
      </c>
      <c r="BX26" s="1" t="e">
        <f>AND(#REF!,"AAAAADt250s=")</f>
        <v>#REF!</v>
      </c>
      <c r="BY26" s="1" t="e">
        <f>AND(#REF!,"AAAAADt250w=")</f>
        <v>#REF!</v>
      </c>
      <c r="BZ26" s="1" t="e">
        <f>AND(#REF!,"AAAAADt2500=")</f>
        <v>#REF!</v>
      </c>
      <c r="CA26" s="1" t="e">
        <f>AND(#REF!,"AAAAADt2504=")</f>
        <v>#REF!</v>
      </c>
      <c r="CB26" s="1" t="e">
        <f>AND(#REF!,"AAAAADt2508=")</f>
        <v>#REF!</v>
      </c>
      <c r="CC26" s="1" t="e">
        <f>AND(#REF!,"AAAAADt251A=")</f>
        <v>#REF!</v>
      </c>
      <c r="CD26" s="1" t="e">
        <f>AND(#REF!,"AAAAADt251E=")</f>
        <v>#REF!</v>
      </c>
      <c r="CE26" s="1" t="e">
        <f>AND(#REF!,"AAAAADt251I=")</f>
        <v>#REF!</v>
      </c>
      <c r="CF26" s="1" t="e">
        <f>AND(#REF!,"AAAAADt251M=")</f>
        <v>#REF!</v>
      </c>
      <c r="CG26" s="1" t="e">
        <f>AND(#REF!,"AAAAADt251Q=")</f>
        <v>#REF!</v>
      </c>
      <c r="CH26" s="1" t="e">
        <f>AND(#REF!,"AAAAADt251U=")</f>
        <v>#REF!</v>
      </c>
      <c r="CI26" s="1" t="e">
        <f>AND(#REF!,"AAAAADt251Y=")</f>
        <v>#REF!</v>
      </c>
      <c r="CJ26" s="1" t="e">
        <f>AND(#REF!,"AAAAADt251c=")</f>
        <v>#REF!</v>
      </c>
      <c r="CK26" s="1" t="e">
        <f>AND(#REF!,"AAAAADt251g=")</f>
        <v>#REF!</v>
      </c>
      <c r="CL26" s="1" t="e">
        <f>AND(#REF!,"AAAAADt251k=")</f>
        <v>#REF!</v>
      </c>
      <c r="CM26" s="1" t="e">
        <f>AND(#REF!,"AAAAADt251o=")</f>
        <v>#REF!</v>
      </c>
      <c r="CN26" s="1" t="e">
        <f>AND(#REF!,"AAAAADt251s=")</f>
        <v>#REF!</v>
      </c>
      <c r="CO26" s="1" t="e">
        <f>AND(#REF!,"AAAAADt251w=")</f>
        <v>#REF!</v>
      </c>
      <c r="CP26" s="1" t="e">
        <f>AND(#REF!,"AAAAADt2510=")</f>
        <v>#REF!</v>
      </c>
      <c r="CQ26" s="1" t="e">
        <f>AND(#REF!,"AAAAADt2514=")</f>
        <v>#REF!</v>
      </c>
      <c r="CR26" s="1" t="e">
        <f>AND(#REF!,"AAAAADt2518=")</f>
        <v>#REF!</v>
      </c>
      <c r="CS26" s="1" t="e">
        <f>AND(#REF!,"AAAAADt252A=")</f>
        <v>#REF!</v>
      </c>
      <c r="CT26" s="1" t="e">
        <f>AND(#REF!,"AAAAADt252E=")</f>
        <v>#REF!</v>
      </c>
      <c r="CU26" s="1" t="e">
        <f>AND(#REF!,"AAAAADt252I=")</f>
        <v>#REF!</v>
      </c>
      <c r="CV26" s="1" t="e">
        <f>AND(#REF!,"AAAAADt252M=")</f>
        <v>#REF!</v>
      </c>
      <c r="CW26" s="1" t="e">
        <f>AND(#REF!,"AAAAADt252Q=")</f>
        <v>#REF!</v>
      </c>
      <c r="CX26" s="1" t="e">
        <f>AND(#REF!,"AAAAADt252U=")</f>
        <v>#REF!</v>
      </c>
      <c r="CY26" s="1" t="e">
        <f>AND(#REF!,"AAAAADt252Y=")</f>
        <v>#REF!</v>
      </c>
      <c r="CZ26" s="1" t="e">
        <f>AND(#REF!,"AAAAADt252c=")</f>
        <v>#REF!</v>
      </c>
      <c r="DA26" s="1" t="e">
        <f>AND(#REF!,"AAAAADt252g=")</f>
        <v>#REF!</v>
      </c>
      <c r="DB26" s="1" t="e">
        <f>AND(#REF!,"AAAAADt252k=")</f>
        <v>#REF!</v>
      </c>
      <c r="DC26" s="1" t="e">
        <f>AND(#REF!,"AAAAADt252o=")</f>
        <v>#REF!</v>
      </c>
      <c r="DD26" s="1" t="e">
        <f>AND(#REF!,"AAAAADt252s=")</f>
        <v>#REF!</v>
      </c>
      <c r="DE26" s="1" t="e">
        <f>AND(#REF!,"AAAAADt252w=")</f>
        <v>#REF!</v>
      </c>
      <c r="DF26" s="1" t="e">
        <f>AND(#REF!,"AAAAADt2520=")</f>
        <v>#REF!</v>
      </c>
      <c r="DG26" s="1" t="e">
        <f>AND(#REF!,"AAAAADt2524=")</f>
        <v>#REF!</v>
      </c>
      <c r="DH26" s="1" t="e">
        <f>AND(#REF!,"AAAAADt2528=")</f>
        <v>#REF!</v>
      </c>
      <c r="DI26" s="1" t="e">
        <f>AND(#REF!,"AAAAADt253A=")</f>
        <v>#REF!</v>
      </c>
      <c r="DJ26" s="1" t="e">
        <f>AND(#REF!,"AAAAADt253E=")</f>
        <v>#REF!</v>
      </c>
      <c r="DK26" s="1" t="e">
        <f>AND(#REF!,"AAAAADt253I=")</f>
        <v>#REF!</v>
      </c>
      <c r="DL26" s="1" t="e">
        <f>AND(#REF!,"AAAAADt253M=")</f>
        <v>#REF!</v>
      </c>
      <c r="DM26" s="1" t="e">
        <f>AND(#REF!,"AAAAADt253Q=")</f>
        <v>#REF!</v>
      </c>
      <c r="DN26" s="1" t="e">
        <f>AND(#REF!,"AAAAADt253U=")</f>
        <v>#REF!</v>
      </c>
      <c r="DO26" s="1" t="e">
        <f>AND(#REF!,"AAAAADt253Y=")</f>
        <v>#REF!</v>
      </c>
      <c r="DP26" s="1" t="e">
        <f>AND(#REF!,"AAAAADt253c=")</f>
        <v>#REF!</v>
      </c>
      <c r="DQ26" s="1" t="e">
        <f>AND(#REF!,"AAAAADt253g=")</f>
        <v>#REF!</v>
      </c>
      <c r="DR26" s="1" t="e">
        <f>AND(#REF!,"AAAAADt253k=")</f>
        <v>#REF!</v>
      </c>
      <c r="DS26" s="1" t="e">
        <f>AND(#REF!,"AAAAADt253o=")</f>
        <v>#REF!</v>
      </c>
      <c r="DT26" s="1" t="e">
        <f>AND(#REF!,"AAAAADt253s=")</f>
        <v>#REF!</v>
      </c>
      <c r="DU26" s="1" t="e">
        <f>AND(#REF!,"AAAAADt253w=")</f>
        <v>#REF!</v>
      </c>
      <c r="DV26" s="1" t="e">
        <f>AND(#REF!,"AAAAADt2530=")</f>
        <v>#REF!</v>
      </c>
      <c r="DW26" s="1" t="e">
        <f>AND(#REF!,"AAAAADt2534=")</f>
        <v>#REF!</v>
      </c>
      <c r="DX26" s="1" t="e">
        <f>AND(#REF!,"AAAAADt2538=")</f>
        <v>#REF!</v>
      </c>
      <c r="DY26" s="1" t="e">
        <f>AND(#REF!,"AAAAADt254A=")</f>
        <v>#REF!</v>
      </c>
      <c r="DZ26" s="1" t="e">
        <f>AND(#REF!,"AAAAADt254E=")</f>
        <v>#REF!</v>
      </c>
      <c r="EA26" s="1" t="e">
        <f>AND(#REF!,"AAAAADt254I=")</f>
        <v>#REF!</v>
      </c>
      <c r="EB26" s="1" t="e">
        <f>AND(#REF!,"AAAAADt254M=")</f>
        <v>#REF!</v>
      </c>
      <c r="EC26" s="1" t="e">
        <f>AND(#REF!,"AAAAADt254Q=")</f>
        <v>#REF!</v>
      </c>
      <c r="ED26" s="1" t="e">
        <f>AND(#REF!,"AAAAADt254U=")</f>
        <v>#REF!</v>
      </c>
      <c r="EE26" s="1" t="e">
        <f>AND(#REF!,"AAAAADt254Y=")</f>
        <v>#REF!</v>
      </c>
      <c r="EF26" s="1" t="e">
        <f>AND(#REF!,"AAAAADt254c=")</f>
        <v>#REF!</v>
      </c>
      <c r="EG26" s="1" t="e">
        <f>AND(#REF!,"AAAAADt254g=")</f>
        <v>#REF!</v>
      </c>
      <c r="EH26" s="1" t="e">
        <f>AND(#REF!,"AAAAADt254k=")</f>
        <v>#REF!</v>
      </c>
      <c r="EI26" s="1" t="e">
        <f>AND(#REF!,"AAAAADt254o=")</f>
        <v>#REF!</v>
      </c>
      <c r="EJ26" s="1" t="e">
        <f>AND(#REF!,"AAAAADt254s=")</f>
        <v>#REF!</v>
      </c>
      <c r="EK26" s="1" t="e">
        <f>AND(#REF!,"AAAAADt254w=")</f>
        <v>#REF!</v>
      </c>
      <c r="EL26" s="1" t="e">
        <f>AND(#REF!,"AAAAADt2540=")</f>
        <v>#REF!</v>
      </c>
      <c r="EM26" s="1" t="e">
        <f>AND(#REF!,"AAAAADt2544=")</f>
        <v>#REF!</v>
      </c>
      <c r="EN26" s="1" t="e">
        <f>IF(#REF!,"AAAAADt2548=",0)</f>
        <v>#REF!</v>
      </c>
      <c r="EO26" s="1" t="e">
        <f>AND(#REF!,"AAAAADt255A=")</f>
        <v>#REF!</v>
      </c>
      <c r="EP26" s="1" t="e">
        <f>AND(#REF!,"AAAAADt255E=")</f>
        <v>#REF!</v>
      </c>
      <c r="EQ26" s="1" t="e">
        <f>AND(#REF!,"AAAAADt255I=")</f>
        <v>#REF!</v>
      </c>
      <c r="ER26" s="1" t="e">
        <f>AND(#REF!,"AAAAADt255M=")</f>
        <v>#REF!</v>
      </c>
      <c r="ES26" s="1" t="e">
        <f>AND(#REF!,"AAAAADt255Q=")</f>
        <v>#REF!</v>
      </c>
      <c r="ET26" s="1" t="e">
        <f>AND(#REF!,"AAAAADt255U=")</f>
        <v>#REF!</v>
      </c>
      <c r="EU26" s="1" t="e">
        <f>AND(#REF!,"AAAAADt255Y=")</f>
        <v>#REF!</v>
      </c>
      <c r="EV26" s="1" t="e">
        <f>AND(#REF!,"AAAAADt255c=")</f>
        <v>#REF!</v>
      </c>
      <c r="EW26" s="1" t="e">
        <f>AND(#REF!,"AAAAADt255g=")</f>
        <v>#REF!</v>
      </c>
      <c r="EX26" s="1" t="e">
        <f>AND(#REF!,"AAAAADt255k=")</f>
        <v>#REF!</v>
      </c>
      <c r="EY26" s="1" t="e">
        <f>AND(#REF!,"AAAAADt255o=")</f>
        <v>#REF!</v>
      </c>
      <c r="EZ26" s="1" t="e">
        <f>AND(#REF!,"AAAAADt255s=")</f>
        <v>#REF!</v>
      </c>
      <c r="FA26" s="1" t="e">
        <f>AND(#REF!,"AAAAADt255w=")</f>
        <v>#REF!</v>
      </c>
      <c r="FB26" s="1" t="e">
        <f>AND(#REF!,"AAAAADt2550=")</f>
        <v>#REF!</v>
      </c>
      <c r="FC26" s="1" t="e">
        <f>AND(#REF!,"AAAAADt2554=")</f>
        <v>#REF!</v>
      </c>
      <c r="FD26" s="1" t="e">
        <f>AND(#REF!,"AAAAADt2558=")</f>
        <v>#REF!</v>
      </c>
      <c r="FE26" s="1" t="e">
        <f>AND(#REF!,"AAAAADt256A=")</f>
        <v>#REF!</v>
      </c>
      <c r="FF26" s="1" t="e">
        <f>AND(#REF!,"AAAAADt256E=")</f>
        <v>#REF!</v>
      </c>
      <c r="FG26" s="1" t="e">
        <f>AND(#REF!,"AAAAADt256I=")</f>
        <v>#REF!</v>
      </c>
      <c r="FH26" s="1" t="e">
        <f>AND(#REF!,"AAAAADt256M=")</f>
        <v>#REF!</v>
      </c>
      <c r="FI26" s="1" t="e">
        <f>AND(#REF!,"AAAAADt256Q=")</f>
        <v>#REF!</v>
      </c>
      <c r="FJ26" s="1" t="e">
        <f>AND(#REF!,"AAAAADt256U=")</f>
        <v>#REF!</v>
      </c>
      <c r="FK26" s="1" t="e">
        <f>AND(#REF!,"AAAAADt256Y=")</f>
        <v>#REF!</v>
      </c>
      <c r="FL26" s="1" t="e">
        <f>AND(#REF!,"AAAAADt256c=")</f>
        <v>#REF!</v>
      </c>
      <c r="FM26" s="1" t="e">
        <f>AND(#REF!,"AAAAADt256g=")</f>
        <v>#REF!</v>
      </c>
      <c r="FN26" s="1" t="e">
        <f>AND(#REF!,"AAAAADt256k=")</f>
        <v>#REF!</v>
      </c>
      <c r="FO26" s="1" t="e">
        <f>AND(#REF!,"AAAAADt256o=")</f>
        <v>#REF!</v>
      </c>
      <c r="FP26" s="1" t="e">
        <f>AND(#REF!,"AAAAADt256s=")</f>
        <v>#REF!</v>
      </c>
      <c r="FQ26" s="1" t="e">
        <f>AND(#REF!,"AAAAADt256w=")</f>
        <v>#REF!</v>
      </c>
      <c r="FR26" s="1" t="e">
        <f>AND(#REF!,"AAAAADt2560=")</f>
        <v>#REF!</v>
      </c>
      <c r="FS26" s="1" t="e">
        <f>AND(#REF!,"AAAAADt2564=")</f>
        <v>#REF!</v>
      </c>
      <c r="FT26" s="1" t="e">
        <f>AND(#REF!,"AAAAADt2568=")</f>
        <v>#REF!</v>
      </c>
      <c r="FU26" s="1" t="e">
        <f>AND(#REF!,"AAAAADt257A=")</f>
        <v>#REF!</v>
      </c>
      <c r="FV26" s="1" t="e">
        <f>AND(#REF!,"AAAAADt257E=")</f>
        <v>#REF!</v>
      </c>
      <c r="FW26" s="1" t="e">
        <f>AND(#REF!,"AAAAADt257I=")</f>
        <v>#REF!</v>
      </c>
      <c r="FX26" s="1" t="e">
        <f>AND(#REF!,"AAAAADt257M=")</f>
        <v>#REF!</v>
      </c>
      <c r="FY26" s="1" t="e">
        <f>AND(#REF!,"AAAAADt257Q=")</f>
        <v>#REF!</v>
      </c>
      <c r="FZ26" s="1" t="e">
        <f>AND(#REF!,"AAAAADt257U=")</f>
        <v>#REF!</v>
      </c>
      <c r="GA26" s="1" t="e">
        <f>AND(#REF!,"AAAAADt257Y=")</f>
        <v>#REF!</v>
      </c>
      <c r="GB26" s="1" t="e">
        <f>AND(#REF!,"AAAAADt257c=")</f>
        <v>#REF!</v>
      </c>
      <c r="GC26" s="1" t="e">
        <f>AND(#REF!,"AAAAADt257g=")</f>
        <v>#REF!</v>
      </c>
      <c r="GD26" s="1" t="e">
        <f>AND(#REF!,"AAAAADt257k=")</f>
        <v>#REF!</v>
      </c>
      <c r="GE26" s="1" t="e">
        <f>AND(#REF!,"AAAAADt257o=")</f>
        <v>#REF!</v>
      </c>
      <c r="GF26" s="1" t="e">
        <f>AND(#REF!,"AAAAADt257s=")</f>
        <v>#REF!</v>
      </c>
      <c r="GG26" s="1" t="e">
        <f>AND(#REF!,"AAAAADt257w=")</f>
        <v>#REF!</v>
      </c>
      <c r="GH26" s="1" t="e">
        <f>AND(#REF!,"AAAAADt2570=")</f>
        <v>#REF!</v>
      </c>
      <c r="GI26" s="1" t="e">
        <f>AND(#REF!,"AAAAADt2574=")</f>
        <v>#REF!</v>
      </c>
      <c r="GJ26" s="1" t="e">
        <f>AND(#REF!,"AAAAADt2578=")</f>
        <v>#REF!</v>
      </c>
      <c r="GK26" s="1" t="e">
        <f>AND(#REF!,"AAAAADt258A=")</f>
        <v>#REF!</v>
      </c>
      <c r="GL26" s="1" t="e">
        <f>AND(#REF!,"AAAAADt258E=")</f>
        <v>#REF!</v>
      </c>
      <c r="GM26" s="1" t="e">
        <f>AND(#REF!,"AAAAADt258I=")</f>
        <v>#REF!</v>
      </c>
      <c r="GN26" s="1" t="e">
        <f>AND(#REF!,"AAAAADt258M=")</f>
        <v>#REF!</v>
      </c>
      <c r="GO26" s="1" t="e">
        <f>AND(#REF!,"AAAAADt258Q=")</f>
        <v>#REF!</v>
      </c>
      <c r="GP26" s="1" t="e">
        <f>AND(#REF!,"AAAAADt258U=")</f>
        <v>#REF!</v>
      </c>
      <c r="GQ26" s="1" t="e">
        <f>AND(#REF!,"AAAAADt258Y=")</f>
        <v>#REF!</v>
      </c>
      <c r="GR26" s="1" t="e">
        <f>AND(#REF!,"AAAAADt258c=")</f>
        <v>#REF!</v>
      </c>
      <c r="GS26" s="1" t="e">
        <f>AND(#REF!,"AAAAADt258g=")</f>
        <v>#REF!</v>
      </c>
      <c r="GT26" s="1" t="e">
        <f>AND(#REF!,"AAAAADt258k=")</f>
        <v>#REF!</v>
      </c>
      <c r="GU26" s="1" t="e">
        <f>AND(#REF!,"AAAAADt258o=")</f>
        <v>#REF!</v>
      </c>
      <c r="GV26" s="1" t="e">
        <f>AND(#REF!,"AAAAADt258s=")</f>
        <v>#REF!</v>
      </c>
      <c r="GW26" s="1" t="e">
        <f>AND(#REF!,"AAAAADt258w=")</f>
        <v>#REF!</v>
      </c>
      <c r="GX26" s="1" t="e">
        <f>AND(#REF!,"AAAAADt2580=")</f>
        <v>#REF!</v>
      </c>
      <c r="GY26" s="1" t="e">
        <f>AND(#REF!,"AAAAADt2584=")</f>
        <v>#REF!</v>
      </c>
      <c r="GZ26" s="1" t="e">
        <f>AND(#REF!,"AAAAADt2588=")</f>
        <v>#REF!</v>
      </c>
      <c r="HA26" s="1" t="e">
        <f>AND(#REF!,"AAAAADt259A=")</f>
        <v>#REF!</v>
      </c>
      <c r="HB26" s="1" t="e">
        <f>AND(#REF!,"AAAAADt259E=")</f>
        <v>#REF!</v>
      </c>
      <c r="HC26" s="1" t="e">
        <f>AND(#REF!,"AAAAADt259I=")</f>
        <v>#REF!</v>
      </c>
      <c r="HD26" s="1" t="e">
        <f>AND(#REF!,"AAAAADt259M=")</f>
        <v>#REF!</v>
      </c>
      <c r="HE26" s="1" t="e">
        <f>AND(#REF!,"AAAAADt259Q=")</f>
        <v>#REF!</v>
      </c>
      <c r="HF26" s="1" t="e">
        <f>AND(#REF!,"AAAAADt259U=")</f>
        <v>#REF!</v>
      </c>
      <c r="HG26" s="1" t="e">
        <f>AND(#REF!,"AAAAADt259Y=")</f>
        <v>#REF!</v>
      </c>
      <c r="HH26" s="1" t="e">
        <f>AND(#REF!,"AAAAADt259c=")</f>
        <v>#REF!</v>
      </c>
      <c r="HI26" s="1" t="e">
        <f>AND(#REF!,"AAAAADt259g=")</f>
        <v>#REF!</v>
      </c>
      <c r="HJ26" s="1" t="e">
        <f>AND(#REF!,"AAAAADt259k=")</f>
        <v>#REF!</v>
      </c>
      <c r="HK26" s="1" t="e">
        <f>AND(#REF!,"AAAAADt259o=")</f>
        <v>#REF!</v>
      </c>
      <c r="HL26" s="1" t="e">
        <f>AND(#REF!,"AAAAADt259s=")</f>
        <v>#REF!</v>
      </c>
      <c r="HM26" s="1" t="e">
        <f>AND(#REF!,"AAAAADt259w=")</f>
        <v>#REF!</v>
      </c>
      <c r="HN26" s="1" t="e">
        <f>AND(#REF!,"AAAAADt2590=")</f>
        <v>#REF!</v>
      </c>
      <c r="HO26" s="1" t="e">
        <f>AND(#REF!,"AAAAADt2594=")</f>
        <v>#REF!</v>
      </c>
      <c r="HP26" s="1" t="e">
        <f>AND(#REF!,"AAAAADt2598=")</f>
        <v>#REF!</v>
      </c>
      <c r="HQ26" s="1" t="e">
        <f>AND(#REF!,"AAAAADt25+A=")</f>
        <v>#REF!</v>
      </c>
      <c r="HR26" s="1" t="e">
        <f>AND(#REF!,"AAAAADt25+E=")</f>
        <v>#REF!</v>
      </c>
      <c r="HS26" s="1" t="e">
        <f>AND(#REF!,"AAAAADt25+I=")</f>
        <v>#REF!</v>
      </c>
      <c r="HT26" s="1" t="e">
        <f>AND(#REF!,"AAAAADt25+M=")</f>
        <v>#REF!</v>
      </c>
      <c r="HU26" s="1" t="e">
        <f>AND(#REF!,"AAAAADt25+Q=")</f>
        <v>#REF!</v>
      </c>
      <c r="HV26" s="1" t="e">
        <f>AND(#REF!,"AAAAADt25+U=")</f>
        <v>#REF!</v>
      </c>
      <c r="HW26" s="1" t="e">
        <f>AND(#REF!,"AAAAADt25+Y=")</f>
        <v>#REF!</v>
      </c>
      <c r="HX26" s="1" t="e">
        <f>AND(#REF!,"AAAAADt25+c=")</f>
        <v>#REF!</v>
      </c>
      <c r="HY26" s="1" t="e">
        <f>AND(#REF!,"AAAAADt25+g=")</f>
        <v>#REF!</v>
      </c>
      <c r="HZ26" s="1" t="e">
        <f>AND(#REF!,"AAAAADt25+k=")</f>
        <v>#REF!</v>
      </c>
      <c r="IA26" s="1" t="e">
        <f>AND(#REF!,"AAAAADt25+o=")</f>
        <v>#REF!</v>
      </c>
      <c r="IB26" s="1" t="e">
        <f>AND(#REF!,"AAAAADt25+s=")</f>
        <v>#REF!</v>
      </c>
      <c r="IC26" s="1" t="e">
        <f>AND(#REF!,"AAAAADt25+w=")</f>
        <v>#REF!</v>
      </c>
      <c r="ID26" s="1" t="e">
        <f>AND(#REF!,"AAAAADt25+0=")</f>
        <v>#REF!</v>
      </c>
      <c r="IE26" s="1" t="e">
        <f>AND(#REF!,"AAAAADt25+4=")</f>
        <v>#REF!</v>
      </c>
      <c r="IF26" s="1" t="e">
        <f>AND(#REF!,"AAAAADt25+8=")</f>
        <v>#REF!</v>
      </c>
      <c r="IG26" s="1" t="e">
        <f>AND(#REF!,"AAAAADt25/A=")</f>
        <v>#REF!</v>
      </c>
      <c r="IH26" s="1" t="e">
        <f>AND(#REF!,"AAAAADt25/E=")</f>
        <v>#REF!</v>
      </c>
      <c r="II26" s="1" t="e">
        <f>AND(#REF!,"AAAAADt25/I=")</f>
        <v>#REF!</v>
      </c>
      <c r="IJ26" s="1" t="e">
        <f>AND(#REF!,"AAAAADt25/M=")</f>
        <v>#REF!</v>
      </c>
      <c r="IK26" s="1" t="e">
        <f>AND(#REF!,"AAAAADt25/Q=")</f>
        <v>#REF!</v>
      </c>
      <c r="IL26" s="1" t="e">
        <f>AND(#REF!,"AAAAADt25/U=")</f>
        <v>#REF!</v>
      </c>
      <c r="IM26" s="1" t="e">
        <f>IF(#REF!,"AAAAADt25/Y=",0)</f>
        <v>#REF!</v>
      </c>
      <c r="IN26" s="1" t="e">
        <f>AND(#REF!,"AAAAADt25/c=")</f>
        <v>#REF!</v>
      </c>
      <c r="IO26" s="1" t="e">
        <f>AND(#REF!,"AAAAADt25/g=")</f>
        <v>#REF!</v>
      </c>
      <c r="IP26" s="1" t="e">
        <f>AND(#REF!,"AAAAADt25/k=")</f>
        <v>#REF!</v>
      </c>
      <c r="IQ26" s="1" t="e">
        <f>AND(#REF!,"AAAAADt25/o=")</f>
        <v>#REF!</v>
      </c>
      <c r="IR26" s="1" t="e">
        <f>AND(#REF!,"AAAAADt25/s=")</f>
        <v>#REF!</v>
      </c>
      <c r="IS26" s="1" t="e">
        <f>AND(#REF!,"AAAAADt25/w=")</f>
        <v>#REF!</v>
      </c>
      <c r="IT26" s="1" t="e">
        <f>AND(#REF!,"AAAAADt25/0=")</f>
        <v>#REF!</v>
      </c>
      <c r="IU26" s="1" t="e">
        <f>AND(#REF!,"AAAAADt25/4=")</f>
        <v>#REF!</v>
      </c>
      <c r="IV26" s="1" t="e">
        <f>AND(#REF!,"AAAAADt25/8=")</f>
        <v>#REF!</v>
      </c>
    </row>
    <row r="27" spans="1:256" ht="15" customHeight="1" x14ac:dyDescent="0.2">
      <c r="A27" s="1" t="e">
        <f>AND(#REF!,"AAAAAB/r8gA=")</f>
        <v>#REF!</v>
      </c>
      <c r="B27" s="1" t="e">
        <f>AND(#REF!,"AAAAAB/r8gE=")</f>
        <v>#REF!</v>
      </c>
      <c r="C27" s="1" t="e">
        <f>AND(#REF!,"AAAAAB/r8gI=")</f>
        <v>#REF!</v>
      </c>
      <c r="D27" s="1" t="e">
        <f>AND(#REF!,"AAAAAB/r8gM=")</f>
        <v>#REF!</v>
      </c>
      <c r="E27" s="1" t="e">
        <f>AND(#REF!,"AAAAAB/r8gQ=")</f>
        <v>#REF!</v>
      </c>
      <c r="F27" s="1" t="e">
        <f>AND(#REF!,"AAAAAB/r8gU=")</f>
        <v>#REF!</v>
      </c>
      <c r="G27" s="1" t="e">
        <f>AND(#REF!,"AAAAAB/r8gY=")</f>
        <v>#REF!</v>
      </c>
      <c r="H27" s="1" t="e">
        <f>AND(#REF!,"AAAAAB/r8gc=")</f>
        <v>#REF!</v>
      </c>
      <c r="I27" s="1" t="e">
        <f>AND(#REF!,"AAAAAB/r8gg=")</f>
        <v>#REF!</v>
      </c>
      <c r="J27" s="1" t="e">
        <f>AND(#REF!,"AAAAAB/r8gk=")</f>
        <v>#REF!</v>
      </c>
      <c r="K27" s="1" t="e">
        <f>AND(#REF!,"AAAAAB/r8go=")</f>
        <v>#REF!</v>
      </c>
      <c r="L27" s="1" t="e">
        <f>AND(#REF!,"AAAAAB/r8gs=")</f>
        <v>#REF!</v>
      </c>
      <c r="M27" s="1" t="e">
        <f>AND(#REF!,"AAAAAB/r8gw=")</f>
        <v>#REF!</v>
      </c>
      <c r="N27" s="1" t="e">
        <f>AND(#REF!,"AAAAAB/r8g0=")</f>
        <v>#REF!</v>
      </c>
      <c r="O27" s="1" t="e">
        <f>AND(#REF!,"AAAAAB/r8g4=")</f>
        <v>#REF!</v>
      </c>
      <c r="P27" s="1" t="e">
        <f>AND(#REF!,"AAAAAB/r8g8=")</f>
        <v>#REF!</v>
      </c>
      <c r="Q27" s="1" t="e">
        <f>AND(#REF!,"AAAAAB/r8hA=")</f>
        <v>#REF!</v>
      </c>
      <c r="R27" s="1" t="e">
        <f>AND(#REF!,"AAAAAB/r8hE=")</f>
        <v>#REF!</v>
      </c>
      <c r="S27" s="1" t="e">
        <f>AND(#REF!,"AAAAAB/r8hI=")</f>
        <v>#REF!</v>
      </c>
      <c r="T27" s="1" t="e">
        <f>AND(#REF!,"AAAAAB/r8hM=")</f>
        <v>#REF!</v>
      </c>
      <c r="U27" s="1" t="e">
        <f>AND(#REF!,"AAAAAB/r8hQ=")</f>
        <v>#REF!</v>
      </c>
      <c r="V27" s="1" t="e">
        <f>AND(#REF!,"AAAAAB/r8hU=")</f>
        <v>#REF!</v>
      </c>
      <c r="W27" s="1" t="e">
        <f>AND(#REF!,"AAAAAB/r8hY=")</f>
        <v>#REF!</v>
      </c>
      <c r="X27" s="1" t="e">
        <f>AND(#REF!,"AAAAAB/r8hc=")</f>
        <v>#REF!</v>
      </c>
      <c r="Y27" s="1" t="e">
        <f>AND(#REF!,"AAAAAB/r8hg=")</f>
        <v>#REF!</v>
      </c>
      <c r="Z27" s="1" t="e">
        <f>AND(#REF!,"AAAAAB/r8hk=")</f>
        <v>#REF!</v>
      </c>
      <c r="AA27" s="1" t="e">
        <f>AND(#REF!,"AAAAAB/r8ho=")</f>
        <v>#REF!</v>
      </c>
      <c r="AB27" s="1" t="e">
        <f>AND(#REF!,"AAAAAB/r8hs=")</f>
        <v>#REF!</v>
      </c>
      <c r="AC27" s="1" t="e">
        <f>AND(#REF!,"AAAAAB/r8hw=")</f>
        <v>#REF!</v>
      </c>
      <c r="AD27" s="1" t="e">
        <f>AND(#REF!,"AAAAAB/r8h0=")</f>
        <v>#REF!</v>
      </c>
      <c r="AE27" s="1" t="e">
        <f>AND(#REF!,"AAAAAB/r8h4=")</f>
        <v>#REF!</v>
      </c>
      <c r="AF27" s="1" t="e">
        <f>AND(#REF!,"AAAAAB/r8h8=")</f>
        <v>#REF!</v>
      </c>
      <c r="AG27" s="1" t="e">
        <f>AND(#REF!,"AAAAAB/r8iA=")</f>
        <v>#REF!</v>
      </c>
      <c r="AH27" s="1" t="e">
        <f>AND(#REF!,"AAAAAB/r8iE=")</f>
        <v>#REF!</v>
      </c>
      <c r="AI27" s="1" t="e">
        <f>AND(#REF!,"AAAAAB/r8iI=")</f>
        <v>#REF!</v>
      </c>
      <c r="AJ27" s="1" t="e">
        <f>AND(#REF!,"AAAAAB/r8iM=")</f>
        <v>#REF!</v>
      </c>
      <c r="AK27" s="1" t="e">
        <f>AND(#REF!,"AAAAAB/r8iQ=")</f>
        <v>#REF!</v>
      </c>
      <c r="AL27" s="1" t="e">
        <f>AND(#REF!,"AAAAAB/r8iU=")</f>
        <v>#REF!</v>
      </c>
      <c r="AM27" s="1" t="e">
        <f>AND(#REF!,"AAAAAB/r8iY=")</f>
        <v>#REF!</v>
      </c>
      <c r="AN27" s="1" t="e">
        <f>AND(#REF!,"AAAAAB/r8ic=")</f>
        <v>#REF!</v>
      </c>
      <c r="AO27" s="1" t="e">
        <f>AND(#REF!,"AAAAAB/r8ig=")</f>
        <v>#REF!</v>
      </c>
      <c r="AP27" s="1" t="e">
        <f>AND(#REF!,"AAAAAB/r8ik=")</f>
        <v>#REF!</v>
      </c>
      <c r="AQ27" s="1" t="e">
        <f>AND(#REF!,"AAAAAB/r8io=")</f>
        <v>#REF!</v>
      </c>
      <c r="AR27" s="1" t="e">
        <f>AND(#REF!,"AAAAAB/r8is=")</f>
        <v>#REF!</v>
      </c>
      <c r="AS27" s="1" t="e">
        <f>AND(#REF!,"AAAAAB/r8iw=")</f>
        <v>#REF!</v>
      </c>
      <c r="AT27" s="1" t="e">
        <f>AND(#REF!,"AAAAAB/r8i0=")</f>
        <v>#REF!</v>
      </c>
      <c r="AU27" s="1" t="e">
        <f>AND(#REF!,"AAAAAB/r8i4=")</f>
        <v>#REF!</v>
      </c>
      <c r="AV27" s="1" t="e">
        <f>AND(#REF!,"AAAAAB/r8i8=")</f>
        <v>#REF!</v>
      </c>
      <c r="AW27" s="1" t="e">
        <f>AND(#REF!,"AAAAAB/r8jA=")</f>
        <v>#REF!</v>
      </c>
      <c r="AX27" s="1" t="e">
        <f>AND(#REF!,"AAAAAB/r8jE=")</f>
        <v>#REF!</v>
      </c>
      <c r="AY27" s="1" t="e">
        <f>AND(#REF!,"AAAAAB/r8jI=")</f>
        <v>#REF!</v>
      </c>
      <c r="AZ27" s="1" t="e">
        <f>AND(#REF!,"AAAAAB/r8jM=")</f>
        <v>#REF!</v>
      </c>
      <c r="BA27" s="1" t="e">
        <f>AND(#REF!,"AAAAAB/r8jQ=")</f>
        <v>#REF!</v>
      </c>
      <c r="BB27" s="1" t="e">
        <f>AND(#REF!,"AAAAAB/r8jU=")</f>
        <v>#REF!</v>
      </c>
      <c r="BC27" s="1" t="e">
        <f>AND(#REF!,"AAAAAB/r8jY=")</f>
        <v>#REF!</v>
      </c>
      <c r="BD27" s="1" t="e">
        <f>AND(#REF!,"AAAAAB/r8jc=")</f>
        <v>#REF!</v>
      </c>
      <c r="BE27" s="1" t="e">
        <f>AND(#REF!,"AAAAAB/r8jg=")</f>
        <v>#REF!</v>
      </c>
      <c r="BF27" s="1" t="e">
        <f>AND(#REF!,"AAAAAB/r8jk=")</f>
        <v>#REF!</v>
      </c>
      <c r="BG27" s="1" t="e">
        <f>AND(#REF!,"AAAAAB/r8jo=")</f>
        <v>#REF!</v>
      </c>
      <c r="BH27" s="1" t="e">
        <f>AND(#REF!,"AAAAAB/r8js=")</f>
        <v>#REF!</v>
      </c>
      <c r="BI27" s="1" t="e">
        <f>AND(#REF!,"AAAAAB/r8jw=")</f>
        <v>#REF!</v>
      </c>
      <c r="BJ27" s="1" t="e">
        <f>AND(#REF!,"AAAAAB/r8j0=")</f>
        <v>#REF!</v>
      </c>
      <c r="BK27" s="1" t="e">
        <f>AND(#REF!,"AAAAAB/r8j4=")</f>
        <v>#REF!</v>
      </c>
      <c r="BL27" s="1" t="e">
        <f>AND(#REF!,"AAAAAB/r8j8=")</f>
        <v>#REF!</v>
      </c>
      <c r="BM27" s="1" t="e">
        <f>AND(#REF!,"AAAAAB/r8kA=")</f>
        <v>#REF!</v>
      </c>
      <c r="BN27" s="1" t="e">
        <f>AND(#REF!,"AAAAAB/r8kE=")</f>
        <v>#REF!</v>
      </c>
      <c r="BO27" s="1" t="e">
        <f>AND(#REF!,"AAAAAB/r8kI=")</f>
        <v>#REF!</v>
      </c>
      <c r="BP27" s="1" t="e">
        <f>AND(#REF!,"AAAAAB/r8kM=")</f>
        <v>#REF!</v>
      </c>
      <c r="BQ27" s="1" t="e">
        <f>AND(#REF!,"AAAAAB/r8kQ=")</f>
        <v>#REF!</v>
      </c>
      <c r="BR27" s="1" t="e">
        <f>AND(#REF!,"AAAAAB/r8kU=")</f>
        <v>#REF!</v>
      </c>
      <c r="BS27" s="1" t="e">
        <f>AND(#REF!,"AAAAAB/r8kY=")</f>
        <v>#REF!</v>
      </c>
      <c r="BT27" s="1" t="e">
        <f>AND(#REF!,"AAAAAB/r8kc=")</f>
        <v>#REF!</v>
      </c>
      <c r="BU27" s="1" t="e">
        <f>AND(#REF!,"AAAAAB/r8kg=")</f>
        <v>#REF!</v>
      </c>
      <c r="BV27" s="1" t="e">
        <f>AND(#REF!,"AAAAAB/r8kk=")</f>
        <v>#REF!</v>
      </c>
      <c r="BW27" s="1" t="e">
        <f>AND(#REF!,"AAAAAB/r8ko=")</f>
        <v>#REF!</v>
      </c>
      <c r="BX27" s="1" t="e">
        <f>AND(#REF!,"AAAAAB/r8ks=")</f>
        <v>#REF!</v>
      </c>
      <c r="BY27" s="1" t="e">
        <f>AND(#REF!,"AAAAAB/r8kw=")</f>
        <v>#REF!</v>
      </c>
      <c r="BZ27" s="1" t="e">
        <f>AND(#REF!,"AAAAAB/r8k0=")</f>
        <v>#REF!</v>
      </c>
      <c r="CA27" s="1" t="e">
        <f>AND(#REF!,"AAAAAB/r8k4=")</f>
        <v>#REF!</v>
      </c>
      <c r="CB27" s="1" t="e">
        <f>AND(#REF!,"AAAAAB/r8k8=")</f>
        <v>#REF!</v>
      </c>
      <c r="CC27" s="1" t="e">
        <f>AND(#REF!,"AAAAAB/r8lA=")</f>
        <v>#REF!</v>
      </c>
      <c r="CD27" s="1" t="e">
        <f>AND(#REF!,"AAAAAB/r8lE=")</f>
        <v>#REF!</v>
      </c>
      <c r="CE27" s="1" t="e">
        <f>AND(#REF!,"AAAAAB/r8lI=")</f>
        <v>#REF!</v>
      </c>
      <c r="CF27" s="1" t="e">
        <f>AND(#REF!,"AAAAAB/r8lM=")</f>
        <v>#REF!</v>
      </c>
      <c r="CG27" s="1" t="e">
        <f>AND(#REF!,"AAAAAB/r8lQ=")</f>
        <v>#REF!</v>
      </c>
      <c r="CH27" s="1" t="e">
        <f>AND(#REF!,"AAAAAB/r8lU=")</f>
        <v>#REF!</v>
      </c>
      <c r="CI27" s="1" t="e">
        <f>AND(#REF!,"AAAAAB/r8lY=")</f>
        <v>#REF!</v>
      </c>
      <c r="CJ27" s="1" t="e">
        <f>AND(#REF!,"AAAAAB/r8lc=")</f>
        <v>#REF!</v>
      </c>
      <c r="CK27" s="1" t="e">
        <f>AND(#REF!,"AAAAAB/r8lg=")</f>
        <v>#REF!</v>
      </c>
      <c r="CL27" s="1" t="e">
        <f>AND(#REF!,"AAAAAB/r8lk=")</f>
        <v>#REF!</v>
      </c>
      <c r="CM27" s="1" t="e">
        <f>AND(#REF!,"AAAAAB/r8lo=")</f>
        <v>#REF!</v>
      </c>
      <c r="CN27" s="1" t="e">
        <f>AND(#REF!,"AAAAAB/r8ls=")</f>
        <v>#REF!</v>
      </c>
      <c r="CO27" s="1" t="e">
        <f>AND(#REF!,"AAAAAB/r8lw=")</f>
        <v>#REF!</v>
      </c>
      <c r="CP27" s="1" t="e">
        <f>IF(#REF!,"AAAAAB/r8l0=",0)</f>
        <v>#REF!</v>
      </c>
      <c r="CQ27" s="1" t="e">
        <f>AND(#REF!,"AAAAAB/r8l4=")</f>
        <v>#REF!</v>
      </c>
      <c r="CR27" s="1" t="e">
        <f>AND(#REF!,"AAAAAB/r8l8=")</f>
        <v>#REF!</v>
      </c>
      <c r="CS27" s="1" t="e">
        <f>AND(#REF!,"AAAAAB/r8mA=")</f>
        <v>#REF!</v>
      </c>
      <c r="CT27" s="1" t="e">
        <f>AND(#REF!,"AAAAAB/r8mE=")</f>
        <v>#REF!</v>
      </c>
      <c r="CU27" s="1" t="e">
        <f>AND(#REF!,"AAAAAB/r8mI=")</f>
        <v>#REF!</v>
      </c>
      <c r="CV27" s="1" t="e">
        <f>AND(#REF!,"AAAAAB/r8mM=")</f>
        <v>#REF!</v>
      </c>
      <c r="CW27" s="1" t="e">
        <f>AND(#REF!,"AAAAAB/r8mQ=")</f>
        <v>#REF!</v>
      </c>
      <c r="CX27" s="1" t="e">
        <f>AND(#REF!,"AAAAAB/r8mU=")</f>
        <v>#REF!</v>
      </c>
      <c r="CY27" s="1" t="e">
        <f>AND(#REF!,"AAAAAB/r8mY=")</f>
        <v>#REF!</v>
      </c>
      <c r="CZ27" s="1" t="e">
        <f>AND(#REF!,"AAAAAB/r8mc=")</f>
        <v>#REF!</v>
      </c>
      <c r="DA27" s="1" t="e">
        <f>AND(#REF!,"AAAAAB/r8mg=")</f>
        <v>#REF!</v>
      </c>
      <c r="DB27" s="1" t="e">
        <f>AND(#REF!,"AAAAAB/r8mk=")</f>
        <v>#REF!</v>
      </c>
      <c r="DC27" s="1" t="e">
        <f>AND(#REF!,"AAAAAB/r8mo=")</f>
        <v>#REF!</v>
      </c>
      <c r="DD27" s="1" t="e">
        <f>AND(#REF!,"AAAAAB/r8ms=")</f>
        <v>#REF!</v>
      </c>
      <c r="DE27" s="1" t="e">
        <f>AND(#REF!,"AAAAAB/r8mw=")</f>
        <v>#REF!</v>
      </c>
      <c r="DF27" s="1" t="e">
        <f>AND(#REF!,"AAAAAB/r8m0=")</f>
        <v>#REF!</v>
      </c>
      <c r="DG27" s="1" t="e">
        <f>AND(#REF!,"AAAAAB/r8m4=")</f>
        <v>#REF!</v>
      </c>
      <c r="DH27" s="1" t="e">
        <f>AND(#REF!,"AAAAAB/r8m8=")</f>
        <v>#REF!</v>
      </c>
      <c r="DI27" s="1" t="e">
        <f>AND(#REF!,"AAAAAB/r8nA=")</f>
        <v>#REF!</v>
      </c>
      <c r="DJ27" s="1" t="e">
        <f>AND(#REF!,"AAAAAB/r8nE=")</f>
        <v>#REF!</v>
      </c>
      <c r="DK27" s="1" t="e">
        <f>AND(#REF!,"AAAAAB/r8nI=")</f>
        <v>#REF!</v>
      </c>
      <c r="DL27" s="1" t="e">
        <f>AND(#REF!,"AAAAAB/r8nM=")</f>
        <v>#REF!</v>
      </c>
      <c r="DM27" s="1" t="e">
        <f>AND(#REF!,"AAAAAB/r8nQ=")</f>
        <v>#REF!</v>
      </c>
      <c r="DN27" s="1" t="e">
        <f>AND(#REF!,"AAAAAB/r8nU=")</f>
        <v>#REF!</v>
      </c>
      <c r="DO27" s="1" t="e">
        <f>AND(#REF!,"AAAAAB/r8nY=")</f>
        <v>#REF!</v>
      </c>
      <c r="DP27" s="1" t="e">
        <f>AND(#REF!,"AAAAAB/r8nc=")</f>
        <v>#REF!</v>
      </c>
      <c r="DQ27" s="1" t="e">
        <f>AND(#REF!,"AAAAAB/r8ng=")</f>
        <v>#REF!</v>
      </c>
      <c r="DR27" s="1" t="e">
        <f>AND(#REF!,"AAAAAB/r8nk=")</f>
        <v>#REF!</v>
      </c>
      <c r="DS27" s="1" t="e">
        <f>AND(#REF!,"AAAAAB/r8no=")</f>
        <v>#REF!</v>
      </c>
      <c r="DT27" s="1" t="e">
        <f>AND(#REF!,"AAAAAB/r8ns=")</f>
        <v>#REF!</v>
      </c>
      <c r="DU27" s="1" t="e">
        <f>AND(#REF!,"AAAAAB/r8nw=")</f>
        <v>#REF!</v>
      </c>
      <c r="DV27" s="1" t="e">
        <f>AND(#REF!,"AAAAAB/r8n0=")</f>
        <v>#REF!</v>
      </c>
      <c r="DW27" s="1" t="e">
        <f>AND(#REF!,"AAAAAB/r8n4=")</f>
        <v>#REF!</v>
      </c>
      <c r="DX27" s="1" t="e">
        <f>AND(#REF!,"AAAAAB/r8n8=")</f>
        <v>#REF!</v>
      </c>
      <c r="DY27" s="1" t="e">
        <f>AND(#REF!,"AAAAAB/r8oA=")</f>
        <v>#REF!</v>
      </c>
      <c r="DZ27" s="1" t="e">
        <f>AND(#REF!,"AAAAAB/r8oE=")</f>
        <v>#REF!</v>
      </c>
      <c r="EA27" s="1" t="e">
        <f>AND(#REF!,"AAAAAB/r8oI=")</f>
        <v>#REF!</v>
      </c>
      <c r="EB27" s="1" t="e">
        <f>AND(#REF!,"AAAAAB/r8oM=")</f>
        <v>#REF!</v>
      </c>
      <c r="EC27" s="1" t="e">
        <f>AND(#REF!,"AAAAAB/r8oQ=")</f>
        <v>#REF!</v>
      </c>
      <c r="ED27" s="1" t="e">
        <f>AND(#REF!,"AAAAAB/r8oU=")</f>
        <v>#REF!</v>
      </c>
      <c r="EE27" s="1" t="e">
        <f>AND(#REF!,"AAAAAB/r8oY=")</f>
        <v>#REF!</v>
      </c>
      <c r="EF27" s="1" t="e">
        <f>AND(#REF!,"AAAAAB/r8oc=")</f>
        <v>#REF!</v>
      </c>
      <c r="EG27" s="1" t="e">
        <f>AND(#REF!,"AAAAAB/r8og=")</f>
        <v>#REF!</v>
      </c>
      <c r="EH27" s="1" t="e">
        <f>AND(#REF!,"AAAAAB/r8ok=")</f>
        <v>#REF!</v>
      </c>
      <c r="EI27" s="1" t="e">
        <f>AND(#REF!,"AAAAAB/r8oo=")</f>
        <v>#REF!</v>
      </c>
      <c r="EJ27" s="1" t="e">
        <f>AND(#REF!,"AAAAAB/r8os=")</f>
        <v>#REF!</v>
      </c>
      <c r="EK27" s="1" t="e">
        <f>AND(#REF!,"AAAAAB/r8ow=")</f>
        <v>#REF!</v>
      </c>
      <c r="EL27" s="1" t="e">
        <f>AND(#REF!,"AAAAAB/r8o0=")</f>
        <v>#REF!</v>
      </c>
      <c r="EM27" s="1" t="e">
        <f>AND(#REF!,"AAAAAB/r8o4=")</f>
        <v>#REF!</v>
      </c>
      <c r="EN27" s="1" t="e">
        <f>AND(#REF!,"AAAAAB/r8o8=")</f>
        <v>#REF!</v>
      </c>
      <c r="EO27" s="1" t="e">
        <f>AND(#REF!,"AAAAAB/r8pA=")</f>
        <v>#REF!</v>
      </c>
      <c r="EP27" s="1" t="e">
        <f>AND(#REF!,"AAAAAB/r8pE=")</f>
        <v>#REF!</v>
      </c>
      <c r="EQ27" s="1" t="e">
        <f>AND(#REF!,"AAAAAB/r8pI=")</f>
        <v>#REF!</v>
      </c>
      <c r="ER27" s="1" t="e">
        <f>AND(#REF!,"AAAAAB/r8pM=")</f>
        <v>#REF!</v>
      </c>
      <c r="ES27" s="1" t="e">
        <f>AND(#REF!,"AAAAAB/r8pQ=")</f>
        <v>#REF!</v>
      </c>
      <c r="ET27" s="1" t="e">
        <f>AND(#REF!,"AAAAAB/r8pU=")</f>
        <v>#REF!</v>
      </c>
      <c r="EU27" s="1" t="e">
        <f>AND(#REF!,"AAAAAB/r8pY=")</f>
        <v>#REF!</v>
      </c>
      <c r="EV27" s="1" t="e">
        <f>AND(#REF!,"AAAAAB/r8pc=")</f>
        <v>#REF!</v>
      </c>
      <c r="EW27" s="1" t="e">
        <f>AND(#REF!,"AAAAAB/r8pg=")</f>
        <v>#REF!</v>
      </c>
      <c r="EX27" s="1" t="e">
        <f>AND(#REF!,"AAAAAB/r8pk=")</f>
        <v>#REF!</v>
      </c>
      <c r="EY27" s="1" t="e">
        <f>AND(#REF!,"AAAAAB/r8po=")</f>
        <v>#REF!</v>
      </c>
      <c r="EZ27" s="1" t="e">
        <f>AND(#REF!,"AAAAAB/r8ps=")</f>
        <v>#REF!</v>
      </c>
      <c r="FA27" s="1" t="e">
        <f>AND(#REF!,"AAAAAB/r8pw=")</f>
        <v>#REF!</v>
      </c>
      <c r="FB27" s="1" t="e">
        <f>AND(#REF!,"AAAAAB/r8p0=")</f>
        <v>#REF!</v>
      </c>
      <c r="FC27" s="1" t="e">
        <f>AND(#REF!,"AAAAAB/r8p4=")</f>
        <v>#REF!</v>
      </c>
      <c r="FD27" s="1" t="e">
        <f>AND(#REF!,"AAAAAB/r8p8=")</f>
        <v>#REF!</v>
      </c>
      <c r="FE27" s="1" t="e">
        <f>AND(#REF!,"AAAAAB/r8qA=")</f>
        <v>#REF!</v>
      </c>
      <c r="FF27" s="1" t="e">
        <f>AND(#REF!,"AAAAAB/r8qE=")</f>
        <v>#REF!</v>
      </c>
      <c r="FG27" s="1" t="e">
        <f>AND(#REF!,"AAAAAB/r8qI=")</f>
        <v>#REF!</v>
      </c>
      <c r="FH27" s="1" t="e">
        <f>AND(#REF!,"AAAAAB/r8qM=")</f>
        <v>#REF!</v>
      </c>
      <c r="FI27" s="1" t="e">
        <f>AND(#REF!,"AAAAAB/r8qQ=")</f>
        <v>#REF!</v>
      </c>
      <c r="FJ27" s="1" t="e">
        <f>AND(#REF!,"AAAAAB/r8qU=")</f>
        <v>#REF!</v>
      </c>
      <c r="FK27" s="1" t="e">
        <f>AND(#REF!,"AAAAAB/r8qY=")</f>
        <v>#REF!</v>
      </c>
      <c r="FL27" s="1" t="e">
        <f>AND(#REF!,"AAAAAB/r8qc=")</f>
        <v>#REF!</v>
      </c>
      <c r="FM27" s="1" t="e">
        <f>AND(#REF!,"AAAAAB/r8qg=")</f>
        <v>#REF!</v>
      </c>
      <c r="FN27" s="1" t="e">
        <f>AND(#REF!,"AAAAAB/r8qk=")</f>
        <v>#REF!</v>
      </c>
      <c r="FO27" s="1" t="e">
        <f>AND(#REF!,"AAAAAB/r8qo=")</f>
        <v>#REF!</v>
      </c>
      <c r="FP27" s="1" t="e">
        <f>AND(#REF!,"AAAAAB/r8qs=")</f>
        <v>#REF!</v>
      </c>
      <c r="FQ27" s="1" t="e">
        <f>AND(#REF!,"AAAAAB/r8qw=")</f>
        <v>#REF!</v>
      </c>
      <c r="FR27" s="1" t="e">
        <f>AND(#REF!,"AAAAAB/r8q0=")</f>
        <v>#REF!</v>
      </c>
      <c r="FS27" s="1" t="e">
        <f>AND(#REF!,"AAAAAB/r8q4=")</f>
        <v>#REF!</v>
      </c>
      <c r="FT27" s="1" t="e">
        <f>AND(#REF!,"AAAAAB/r8q8=")</f>
        <v>#REF!</v>
      </c>
      <c r="FU27" s="1" t="e">
        <f>AND(#REF!,"AAAAAB/r8rA=")</f>
        <v>#REF!</v>
      </c>
      <c r="FV27" s="1" t="e">
        <f>AND(#REF!,"AAAAAB/r8rE=")</f>
        <v>#REF!</v>
      </c>
      <c r="FW27" s="1" t="e">
        <f>AND(#REF!,"AAAAAB/r8rI=")</f>
        <v>#REF!</v>
      </c>
      <c r="FX27" s="1" t="e">
        <f>AND(#REF!,"AAAAAB/r8rM=")</f>
        <v>#REF!</v>
      </c>
      <c r="FY27" s="1" t="e">
        <f>AND(#REF!,"AAAAAB/r8rQ=")</f>
        <v>#REF!</v>
      </c>
      <c r="FZ27" s="1" t="e">
        <f>AND(#REF!,"AAAAAB/r8rU=")</f>
        <v>#REF!</v>
      </c>
      <c r="GA27" s="1" t="e">
        <f>AND(#REF!,"AAAAAB/r8rY=")</f>
        <v>#REF!</v>
      </c>
      <c r="GB27" s="1" t="e">
        <f>AND(#REF!,"AAAAAB/r8rc=")</f>
        <v>#REF!</v>
      </c>
      <c r="GC27" s="1" t="e">
        <f>AND(#REF!,"AAAAAB/r8rg=")</f>
        <v>#REF!</v>
      </c>
      <c r="GD27" s="1" t="e">
        <f>AND(#REF!,"AAAAAB/r8rk=")</f>
        <v>#REF!</v>
      </c>
      <c r="GE27" s="1" t="e">
        <f>AND(#REF!,"AAAAAB/r8ro=")</f>
        <v>#REF!</v>
      </c>
      <c r="GF27" s="1" t="e">
        <f>AND(#REF!,"AAAAAB/r8rs=")</f>
        <v>#REF!</v>
      </c>
      <c r="GG27" s="1" t="e">
        <f>AND(#REF!,"AAAAAB/r8rw=")</f>
        <v>#REF!</v>
      </c>
      <c r="GH27" s="1" t="e">
        <f>AND(#REF!,"AAAAAB/r8r0=")</f>
        <v>#REF!</v>
      </c>
      <c r="GI27" s="1" t="e">
        <f>AND(#REF!,"AAAAAB/r8r4=")</f>
        <v>#REF!</v>
      </c>
      <c r="GJ27" s="1" t="e">
        <f>AND(#REF!,"AAAAAB/r8r8=")</f>
        <v>#REF!</v>
      </c>
      <c r="GK27" s="1" t="e">
        <f>AND(#REF!,"AAAAAB/r8sA=")</f>
        <v>#REF!</v>
      </c>
      <c r="GL27" s="1" t="e">
        <f>AND(#REF!,"AAAAAB/r8sE=")</f>
        <v>#REF!</v>
      </c>
      <c r="GM27" s="1" t="e">
        <f>AND(#REF!,"AAAAAB/r8sI=")</f>
        <v>#REF!</v>
      </c>
      <c r="GN27" s="1" t="e">
        <f>AND(#REF!,"AAAAAB/r8sM=")</f>
        <v>#REF!</v>
      </c>
      <c r="GO27" s="1" t="e">
        <f>IF(#REF!,"AAAAAB/r8sQ=",0)</f>
        <v>#REF!</v>
      </c>
      <c r="GP27" s="1" t="e">
        <f>AND(#REF!,"AAAAAB/r8sU=")</f>
        <v>#REF!</v>
      </c>
      <c r="GQ27" s="1" t="e">
        <f>AND(#REF!,"AAAAAB/r8sY=")</f>
        <v>#REF!</v>
      </c>
      <c r="GR27" s="1" t="e">
        <f>AND(#REF!,"AAAAAB/r8sc=")</f>
        <v>#REF!</v>
      </c>
      <c r="GS27" s="1" t="e">
        <f>AND(#REF!,"AAAAAB/r8sg=")</f>
        <v>#REF!</v>
      </c>
      <c r="GT27" s="1" t="e">
        <f>AND(#REF!,"AAAAAB/r8sk=")</f>
        <v>#REF!</v>
      </c>
      <c r="GU27" s="1" t="e">
        <f>AND(#REF!,"AAAAAB/r8so=")</f>
        <v>#REF!</v>
      </c>
      <c r="GV27" s="1" t="e">
        <f>AND(#REF!,"AAAAAB/r8ss=")</f>
        <v>#REF!</v>
      </c>
      <c r="GW27" s="1" t="e">
        <f>AND(#REF!,"AAAAAB/r8sw=")</f>
        <v>#REF!</v>
      </c>
      <c r="GX27" s="1" t="e">
        <f>AND(#REF!,"AAAAAB/r8s0=")</f>
        <v>#REF!</v>
      </c>
      <c r="GY27" s="1" t="e">
        <f>AND(#REF!,"AAAAAB/r8s4=")</f>
        <v>#REF!</v>
      </c>
      <c r="GZ27" s="1" t="e">
        <f>AND(#REF!,"AAAAAB/r8s8=")</f>
        <v>#REF!</v>
      </c>
      <c r="HA27" s="1" t="e">
        <f>AND(#REF!,"AAAAAB/r8tA=")</f>
        <v>#REF!</v>
      </c>
      <c r="HB27" s="1" t="e">
        <f>AND(#REF!,"AAAAAB/r8tE=")</f>
        <v>#REF!</v>
      </c>
      <c r="HC27" s="1" t="e">
        <f>AND(#REF!,"AAAAAB/r8tI=")</f>
        <v>#REF!</v>
      </c>
      <c r="HD27" s="1" t="e">
        <f>AND(#REF!,"AAAAAB/r8tM=")</f>
        <v>#REF!</v>
      </c>
      <c r="HE27" s="1" t="e">
        <f>AND(#REF!,"AAAAAB/r8tQ=")</f>
        <v>#REF!</v>
      </c>
      <c r="HF27" s="1" t="e">
        <f>AND(#REF!,"AAAAAB/r8tU=")</f>
        <v>#REF!</v>
      </c>
      <c r="HG27" s="1" t="e">
        <f>AND(#REF!,"AAAAAB/r8tY=")</f>
        <v>#REF!</v>
      </c>
      <c r="HH27" s="1" t="e">
        <f>AND(#REF!,"AAAAAB/r8tc=")</f>
        <v>#REF!</v>
      </c>
      <c r="HI27" s="1" t="e">
        <f>AND(#REF!,"AAAAAB/r8tg=")</f>
        <v>#REF!</v>
      </c>
      <c r="HJ27" s="1" t="e">
        <f>AND(#REF!,"AAAAAB/r8tk=")</f>
        <v>#REF!</v>
      </c>
      <c r="HK27" s="1" t="e">
        <f>AND(#REF!,"AAAAAB/r8to=")</f>
        <v>#REF!</v>
      </c>
      <c r="HL27" s="1" t="e">
        <f>AND(#REF!,"AAAAAB/r8ts=")</f>
        <v>#REF!</v>
      </c>
      <c r="HM27" s="1" t="e">
        <f>AND(#REF!,"AAAAAB/r8tw=")</f>
        <v>#REF!</v>
      </c>
      <c r="HN27" s="1" t="e">
        <f>AND(#REF!,"AAAAAB/r8t0=")</f>
        <v>#REF!</v>
      </c>
      <c r="HO27" s="1" t="e">
        <f>AND(#REF!,"AAAAAB/r8t4=")</f>
        <v>#REF!</v>
      </c>
      <c r="HP27" s="1" t="e">
        <f>AND(#REF!,"AAAAAB/r8t8=")</f>
        <v>#REF!</v>
      </c>
      <c r="HQ27" s="1" t="e">
        <f>AND(#REF!,"AAAAAB/r8uA=")</f>
        <v>#REF!</v>
      </c>
      <c r="HR27" s="1" t="e">
        <f>AND(#REF!,"AAAAAB/r8uE=")</f>
        <v>#REF!</v>
      </c>
      <c r="HS27" s="1" t="e">
        <f>AND(#REF!,"AAAAAB/r8uI=")</f>
        <v>#REF!</v>
      </c>
      <c r="HT27" s="1" t="e">
        <f>AND(#REF!,"AAAAAB/r8uM=")</f>
        <v>#REF!</v>
      </c>
      <c r="HU27" s="1" t="e">
        <f>AND(#REF!,"AAAAAB/r8uQ=")</f>
        <v>#REF!</v>
      </c>
      <c r="HV27" s="1" t="e">
        <f>AND(#REF!,"AAAAAB/r8uU=")</f>
        <v>#REF!</v>
      </c>
      <c r="HW27" s="1" t="e">
        <f>AND(#REF!,"AAAAAB/r8uY=")</f>
        <v>#REF!</v>
      </c>
      <c r="HX27" s="1" t="e">
        <f>AND(#REF!,"AAAAAB/r8uc=")</f>
        <v>#REF!</v>
      </c>
      <c r="HY27" s="1" t="e">
        <f>AND(#REF!,"AAAAAB/r8ug=")</f>
        <v>#REF!</v>
      </c>
      <c r="HZ27" s="1" t="e">
        <f>AND(#REF!,"AAAAAB/r8uk=")</f>
        <v>#REF!</v>
      </c>
      <c r="IA27" s="1" t="e">
        <f>AND(#REF!,"AAAAAB/r8uo=")</f>
        <v>#REF!</v>
      </c>
      <c r="IB27" s="1" t="e">
        <f>AND(#REF!,"AAAAAB/r8us=")</f>
        <v>#REF!</v>
      </c>
      <c r="IC27" s="1" t="e">
        <f>AND(#REF!,"AAAAAB/r8uw=")</f>
        <v>#REF!</v>
      </c>
      <c r="ID27" s="1" t="e">
        <f>AND(#REF!,"AAAAAB/r8u0=")</f>
        <v>#REF!</v>
      </c>
      <c r="IE27" s="1" t="e">
        <f>AND(#REF!,"AAAAAB/r8u4=")</f>
        <v>#REF!</v>
      </c>
      <c r="IF27" s="1" t="e">
        <f>AND(#REF!,"AAAAAB/r8u8=")</f>
        <v>#REF!</v>
      </c>
      <c r="IG27" s="1" t="e">
        <f>AND(#REF!,"AAAAAB/r8vA=")</f>
        <v>#REF!</v>
      </c>
      <c r="IH27" s="1" t="e">
        <f>AND(#REF!,"AAAAAB/r8vE=")</f>
        <v>#REF!</v>
      </c>
      <c r="II27" s="1" t="e">
        <f>AND(#REF!,"AAAAAB/r8vI=")</f>
        <v>#REF!</v>
      </c>
      <c r="IJ27" s="1" t="e">
        <f>AND(#REF!,"AAAAAB/r8vM=")</f>
        <v>#REF!</v>
      </c>
      <c r="IK27" s="1" t="e">
        <f>AND(#REF!,"AAAAAB/r8vQ=")</f>
        <v>#REF!</v>
      </c>
      <c r="IL27" s="1" t="e">
        <f>AND(#REF!,"AAAAAB/r8vU=")</f>
        <v>#REF!</v>
      </c>
      <c r="IM27" s="1" t="e">
        <f>AND(#REF!,"AAAAAB/r8vY=")</f>
        <v>#REF!</v>
      </c>
      <c r="IN27" s="1" t="e">
        <f>AND(#REF!,"AAAAAB/r8vc=")</f>
        <v>#REF!</v>
      </c>
      <c r="IO27" s="1" t="e">
        <f>AND(#REF!,"AAAAAB/r8vg=")</f>
        <v>#REF!</v>
      </c>
      <c r="IP27" s="1" t="e">
        <f>AND(#REF!,"AAAAAB/r8vk=")</f>
        <v>#REF!</v>
      </c>
      <c r="IQ27" s="1" t="e">
        <f>AND(#REF!,"AAAAAB/r8vo=")</f>
        <v>#REF!</v>
      </c>
      <c r="IR27" s="1" t="e">
        <f>AND(#REF!,"AAAAAB/r8vs=")</f>
        <v>#REF!</v>
      </c>
      <c r="IS27" s="1" t="e">
        <f>AND(#REF!,"AAAAAB/r8vw=")</f>
        <v>#REF!</v>
      </c>
      <c r="IT27" s="1" t="e">
        <f>AND(#REF!,"AAAAAB/r8v0=")</f>
        <v>#REF!</v>
      </c>
      <c r="IU27" s="1" t="e">
        <f>AND(#REF!,"AAAAAB/r8v4=")</f>
        <v>#REF!</v>
      </c>
      <c r="IV27" s="1" t="e">
        <f>AND(#REF!,"AAAAAB/r8v8=")</f>
        <v>#REF!</v>
      </c>
    </row>
    <row r="28" spans="1:256" ht="15" customHeight="1" x14ac:dyDescent="0.2">
      <c r="A28" s="1" t="e">
        <f>AND(#REF!,"AAAAAGVBfwA=")</f>
        <v>#REF!</v>
      </c>
      <c r="B28" s="1" t="e">
        <f>AND(#REF!,"AAAAAGVBfwE=")</f>
        <v>#REF!</v>
      </c>
      <c r="C28" s="1" t="e">
        <f>AND(#REF!,"AAAAAGVBfwI=")</f>
        <v>#REF!</v>
      </c>
      <c r="D28" s="1" t="e">
        <f>AND(#REF!,"AAAAAGVBfwM=")</f>
        <v>#REF!</v>
      </c>
      <c r="E28" s="1" t="e">
        <f>AND(#REF!,"AAAAAGVBfwQ=")</f>
        <v>#REF!</v>
      </c>
      <c r="F28" s="1" t="e">
        <f>AND(#REF!,"AAAAAGVBfwU=")</f>
        <v>#REF!</v>
      </c>
      <c r="G28" s="1" t="e">
        <f>AND(#REF!,"AAAAAGVBfwY=")</f>
        <v>#REF!</v>
      </c>
      <c r="H28" s="1" t="e">
        <f>AND(#REF!,"AAAAAGVBfwc=")</f>
        <v>#REF!</v>
      </c>
      <c r="I28" s="1" t="e">
        <f>AND(#REF!,"AAAAAGVBfwg=")</f>
        <v>#REF!</v>
      </c>
      <c r="J28" s="1" t="e">
        <f>AND(#REF!,"AAAAAGVBfwk=")</f>
        <v>#REF!</v>
      </c>
      <c r="K28" s="1" t="e">
        <f>AND(#REF!,"AAAAAGVBfwo=")</f>
        <v>#REF!</v>
      </c>
      <c r="L28" s="1" t="e">
        <f>AND(#REF!,"AAAAAGVBfws=")</f>
        <v>#REF!</v>
      </c>
      <c r="M28" s="1" t="e">
        <f>AND(#REF!,"AAAAAGVBfww=")</f>
        <v>#REF!</v>
      </c>
      <c r="N28" s="1" t="e">
        <f>AND(#REF!,"AAAAAGVBfw0=")</f>
        <v>#REF!</v>
      </c>
      <c r="O28" s="1" t="e">
        <f>AND(#REF!,"AAAAAGVBfw4=")</f>
        <v>#REF!</v>
      </c>
      <c r="P28" s="1" t="e">
        <f>AND(#REF!,"AAAAAGVBfw8=")</f>
        <v>#REF!</v>
      </c>
      <c r="Q28" s="1" t="e">
        <f>AND(#REF!,"AAAAAGVBfxA=")</f>
        <v>#REF!</v>
      </c>
      <c r="R28" s="1" t="e">
        <f>AND(#REF!,"AAAAAGVBfxE=")</f>
        <v>#REF!</v>
      </c>
      <c r="S28" s="1" t="e">
        <f>AND(#REF!,"AAAAAGVBfxI=")</f>
        <v>#REF!</v>
      </c>
      <c r="T28" s="1" t="e">
        <f>AND(#REF!,"AAAAAGVBfxM=")</f>
        <v>#REF!</v>
      </c>
      <c r="U28" s="1" t="e">
        <f>AND(#REF!,"AAAAAGVBfxQ=")</f>
        <v>#REF!</v>
      </c>
      <c r="V28" s="1" t="e">
        <f>AND(#REF!,"AAAAAGVBfxU=")</f>
        <v>#REF!</v>
      </c>
      <c r="W28" s="1" t="e">
        <f>AND(#REF!,"AAAAAGVBfxY=")</f>
        <v>#REF!</v>
      </c>
      <c r="X28" s="1" t="e">
        <f>AND(#REF!,"AAAAAGVBfxc=")</f>
        <v>#REF!</v>
      </c>
      <c r="Y28" s="1" t="e">
        <f>AND(#REF!,"AAAAAGVBfxg=")</f>
        <v>#REF!</v>
      </c>
      <c r="Z28" s="1" t="e">
        <f>AND(#REF!,"AAAAAGVBfxk=")</f>
        <v>#REF!</v>
      </c>
      <c r="AA28" s="1" t="e">
        <f>AND(#REF!,"AAAAAGVBfxo=")</f>
        <v>#REF!</v>
      </c>
      <c r="AB28" s="1" t="e">
        <f>AND(#REF!,"AAAAAGVBfxs=")</f>
        <v>#REF!</v>
      </c>
      <c r="AC28" s="1" t="e">
        <f>AND(#REF!,"AAAAAGVBfxw=")</f>
        <v>#REF!</v>
      </c>
      <c r="AD28" s="1" t="e">
        <f>AND(#REF!,"AAAAAGVBfx0=")</f>
        <v>#REF!</v>
      </c>
      <c r="AE28" s="1" t="e">
        <f>AND(#REF!,"AAAAAGVBfx4=")</f>
        <v>#REF!</v>
      </c>
      <c r="AF28" s="1" t="e">
        <f>AND(#REF!,"AAAAAGVBfx8=")</f>
        <v>#REF!</v>
      </c>
      <c r="AG28" s="1" t="e">
        <f>AND(#REF!,"AAAAAGVBfyA=")</f>
        <v>#REF!</v>
      </c>
      <c r="AH28" s="1" t="e">
        <f>AND(#REF!,"AAAAAGVBfyE=")</f>
        <v>#REF!</v>
      </c>
      <c r="AI28" s="1" t="e">
        <f>AND(#REF!,"AAAAAGVBfyI=")</f>
        <v>#REF!</v>
      </c>
      <c r="AJ28" s="1" t="e">
        <f>AND(#REF!,"AAAAAGVBfyM=")</f>
        <v>#REF!</v>
      </c>
      <c r="AK28" s="1" t="e">
        <f>AND(#REF!,"AAAAAGVBfyQ=")</f>
        <v>#REF!</v>
      </c>
      <c r="AL28" s="1" t="e">
        <f>AND(#REF!,"AAAAAGVBfyU=")</f>
        <v>#REF!</v>
      </c>
      <c r="AM28" s="1" t="e">
        <f>AND(#REF!,"AAAAAGVBfyY=")</f>
        <v>#REF!</v>
      </c>
      <c r="AN28" s="1" t="e">
        <f>AND(#REF!,"AAAAAGVBfyc=")</f>
        <v>#REF!</v>
      </c>
      <c r="AO28" s="1" t="e">
        <f>AND(#REF!,"AAAAAGVBfyg=")</f>
        <v>#REF!</v>
      </c>
      <c r="AP28" s="1" t="e">
        <f>AND(#REF!,"AAAAAGVBfyk=")</f>
        <v>#REF!</v>
      </c>
      <c r="AQ28" s="1" t="e">
        <f>AND(#REF!,"AAAAAGVBfyo=")</f>
        <v>#REF!</v>
      </c>
      <c r="AR28" s="1" t="e">
        <f>IF(#REF!,"AAAAAGVBfys=",0)</f>
        <v>#REF!</v>
      </c>
      <c r="AS28" s="1" t="e">
        <f>AND(#REF!,"AAAAAGVBfyw=")</f>
        <v>#REF!</v>
      </c>
      <c r="AT28" s="1" t="e">
        <f>AND(#REF!,"AAAAAGVBfy0=")</f>
        <v>#REF!</v>
      </c>
      <c r="AU28" s="1" t="e">
        <f>AND(#REF!,"AAAAAGVBfy4=")</f>
        <v>#REF!</v>
      </c>
      <c r="AV28" s="1" t="e">
        <f>AND(#REF!,"AAAAAGVBfy8=")</f>
        <v>#REF!</v>
      </c>
      <c r="AW28" s="1" t="e">
        <f>AND(#REF!,"AAAAAGVBfzA=")</f>
        <v>#REF!</v>
      </c>
      <c r="AX28" s="1" t="e">
        <f>AND(#REF!,"AAAAAGVBfzE=")</f>
        <v>#REF!</v>
      </c>
      <c r="AY28" s="1" t="e">
        <f>AND(#REF!,"AAAAAGVBfzI=")</f>
        <v>#REF!</v>
      </c>
      <c r="AZ28" s="1" t="e">
        <f>AND(#REF!,"AAAAAGVBfzM=")</f>
        <v>#REF!</v>
      </c>
      <c r="BA28" s="1" t="e">
        <f>AND(#REF!,"AAAAAGVBfzQ=")</f>
        <v>#REF!</v>
      </c>
      <c r="BB28" s="1" t="e">
        <f>AND(#REF!,"AAAAAGVBfzU=")</f>
        <v>#REF!</v>
      </c>
      <c r="BC28" s="1" t="e">
        <f>AND(#REF!,"AAAAAGVBfzY=")</f>
        <v>#REF!</v>
      </c>
      <c r="BD28" s="1" t="e">
        <f>AND(#REF!,"AAAAAGVBfzc=")</f>
        <v>#REF!</v>
      </c>
      <c r="BE28" s="1" t="e">
        <f>AND(#REF!,"AAAAAGVBfzg=")</f>
        <v>#REF!</v>
      </c>
      <c r="BF28" s="1" t="e">
        <f>AND(#REF!,"AAAAAGVBfzk=")</f>
        <v>#REF!</v>
      </c>
      <c r="BG28" s="1" t="e">
        <f>AND(#REF!,"AAAAAGVBfzo=")</f>
        <v>#REF!</v>
      </c>
      <c r="BH28" s="1" t="e">
        <f>AND(#REF!,"AAAAAGVBfzs=")</f>
        <v>#REF!</v>
      </c>
      <c r="BI28" s="1" t="e">
        <f>AND(#REF!,"AAAAAGVBfzw=")</f>
        <v>#REF!</v>
      </c>
      <c r="BJ28" s="1" t="e">
        <f>AND(#REF!,"AAAAAGVBfz0=")</f>
        <v>#REF!</v>
      </c>
      <c r="BK28" s="1" t="e">
        <f>AND(#REF!,"AAAAAGVBfz4=")</f>
        <v>#REF!</v>
      </c>
      <c r="BL28" s="1" t="e">
        <f>AND(#REF!,"AAAAAGVBfz8=")</f>
        <v>#REF!</v>
      </c>
      <c r="BM28" s="1" t="e">
        <f>AND(#REF!,"AAAAAGVBf0A=")</f>
        <v>#REF!</v>
      </c>
      <c r="BN28" s="1" t="e">
        <f>AND(#REF!,"AAAAAGVBf0E=")</f>
        <v>#REF!</v>
      </c>
      <c r="BO28" s="1" t="e">
        <f>AND(#REF!,"AAAAAGVBf0I=")</f>
        <v>#REF!</v>
      </c>
      <c r="BP28" s="1" t="e">
        <f>AND(#REF!,"AAAAAGVBf0M=")</f>
        <v>#REF!</v>
      </c>
      <c r="BQ28" s="1" t="e">
        <f>AND(#REF!,"AAAAAGVBf0Q=")</f>
        <v>#REF!</v>
      </c>
      <c r="BR28" s="1" t="e">
        <f>AND(#REF!,"AAAAAGVBf0U=")</f>
        <v>#REF!</v>
      </c>
      <c r="BS28" s="1" t="e">
        <f>AND(#REF!,"AAAAAGVBf0Y=")</f>
        <v>#REF!</v>
      </c>
      <c r="BT28" s="1" t="e">
        <f>AND(#REF!,"AAAAAGVBf0c=")</f>
        <v>#REF!</v>
      </c>
      <c r="BU28" s="1" t="e">
        <f>AND(#REF!,"AAAAAGVBf0g=")</f>
        <v>#REF!</v>
      </c>
      <c r="BV28" s="1" t="e">
        <f>AND(#REF!,"AAAAAGVBf0k=")</f>
        <v>#REF!</v>
      </c>
      <c r="BW28" s="1" t="e">
        <f>AND(#REF!,"AAAAAGVBf0o=")</f>
        <v>#REF!</v>
      </c>
      <c r="BX28" s="1" t="e">
        <f>AND(#REF!,"AAAAAGVBf0s=")</f>
        <v>#REF!</v>
      </c>
      <c r="BY28" s="1" t="e">
        <f>AND(#REF!,"AAAAAGVBf0w=")</f>
        <v>#REF!</v>
      </c>
      <c r="BZ28" s="1" t="e">
        <f>AND(#REF!,"AAAAAGVBf00=")</f>
        <v>#REF!</v>
      </c>
      <c r="CA28" s="1" t="e">
        <f>AND(#REF!,"AAAAAGVBf04=")</f>
        <v>#REF!</v>
      </c>
      <c r="CB28" s="1" t="e">
        <f>AND(#REF!,"AAAAAGVBf08=")</f>
        <v>#REF!</v>
      </c>
      <c r="CC28" s="1" t="e">
        <f>AND(#REF!,"AAAAAGVBf1A=")</f>
        <v>#REF!</v>
      </c>
      <c r="CD28" s="1" t="e">
        <f>AND(#REF!,"AAAAAGVBf1E=")</f>
        <v>#REF!</v>
      </c>
      <c r="CE28" s="1" t="e">
        <f>AND(#REF!,"AAAAAGVBf1I=")</f>
        <v>#REF!</v>
      </c>
      <c r="CF28" s="1" t="e">
        <f>AND(#REF!,"AAAAAGVBf1M=")</f>
        <v>#REF!</v>
      </c>
      <c r="CG28" s="1" t="e">
        <f>AND(#REF!,"AAAAAGVBf1Q=")</f>
        <v>#REF!</v>
      </c>
      <c r="CH28" s="1" t="e">
        <f>AND(#REF!,"AAAAAGVBf1U=")</f>
        <v>#REF!</v>
      </c>
      <c r="CI28" s="1" t="e">
        <f>AND(#REF!,"AAAAAGVBf1Y=")</f>
        <v>#REF!</v>
      </c>
      <c r="CJ28" s="1" t="e">
        <f>AND(#REF!,"AAAAAGVBf1c=")</f>
        <v>#REF!</v>
      </c>
      <c r="CK28" s="1" t="e">
        <f>AND(#REF!,"AAAAAGVBf1g=")</f>
        <v>#REF!</v>
      </c>
      <c r="CL28" s="1" t="e">
        <f>AND(#REF!,"AAAAAGVBf1k=")</f>
        <v>#REF!</v>
      </c>
      <c r="CM28" s="1" t="e">
        <f>AND(#REF!,"AAAAAGVBf1o=")</f>
        <v>#REF!</v>
      </c>
      <c r="CN28" s="1" t="e">
        <f>AND(#REF!,"AAAAAGVBf1s=")</f>
        <v>#REF!</v>
      </c>
      <c r="CO28" s="1" t="e">
        <f>AND(#REF!,"AAAAAGVBf1w=")</f>
        <v>#REF!</v>
      </c>
      <c r="CP28" s="1" t="e">
        <f>AND(#REF!,"AAAAAGVBf10=")</f>
        <v>#REF!</v>
      </c>
      <c r="CQ28" s="1" t="e">
        <f>AND(#REF!,"AAAAAGVBf14=")</f>
        <v>#REF!</v>
      </c>
      <c r="CR28" s="1" t="e">
        <f>AND(#REF!,"AAAAAGVBf18=")</f>
        <v>#REF!</v>
      </c>
      <c r="CS28" s="1" t="e">
        <f>AND(#REF!,"AAAAAGVBf2A=")</f>
        <v>#REF!</v>
      </c>
      <c r="CT28" s="1" t="e">
        <f>AND(#REF!,"AAAAAGVBf2E=")</f>
        <v>#REF!</v>
      </c>
      <c r="CU28" s="1" t="e">
        <f>AND(#REF!,"AAAAAGVBf2I=")</f>
        <v>#REF!</v>
      </c>
      <c r="CV28" s="1" t="e">
        <f>AND(#REF!,"AAAAAGVBf2M=")</f>
        <v>#REF!</v>
      </c>
      <c r="CW28" s="1" t="e">
        <f>AND(#REF!,"AAAAAGVBf2Q=")</f>
        <v>#REF!</v>
      </c>
      <c r="CX28" s="1" t="e">
        <f>AND(#REF!,"AAAAAGVBf2U=")</f>
        <v>#REF!</v>
      </c>
      <c r="CY28" s="1" t="e">
        <f>AND(#REF!,"AAAAAGVBf2Y=")</f>
        <v>#REF!</v>
      </c>
      <c r="CZ28" s="1" t="e">
        <f>AND(#REF!,"AAAAAGVBf2c=")</f>
        <v>#REF!</v>
      </c>
      <c r="DA28" s="1" t="e">
        <f>AND(#REF!,"AAAAAGVBf2g=")</f>
        <v>#REF!</v>
      </c>
      <c r="DB28" s="1" t="e">
        <f>AND(#REF!,"AAAAAGVBf2k=")</f>
        <v>#REF!</v>
      </c>
      <c r="DC28" s="1" t="e">
        <f>AND(#REF!,"AAAAAGVBf2o=")</f>
        <v>#REF!</v>
      </c>
      <c r="DD28" s="1" t="e">
        <f>AND(#REF!,"AAAAAGVBf2s=")</f>
        <v>#REF!</v>
      </c>
      <c r="DE28" s="1" t="e">
        <f>AND(#REF!,"AAAAAGVBf2w=")</f>
        <v>#REF!</v>
      </c>
      <c r="DF28" s="1" t="e">
        <f>AND(#REF!,"AAAAAGVBf20=")</f>
        <v>#REF!</v>
      </c>
      <c r="DG28" s="1" t="e">
        <f>AND(#REF!,"AAAAAGVBf24=")</f>
        <v>#REF!</v>
      </c>
      <c r="DH28" s="1" t="e">
        <f>AND(#REF!,"AAAAAGVBf28=")</f>
        <v>#REF!</v>
      </c>
      <c r="DI28" s="1" t="e">
        <f>AND(#REF!,"AAAAAGVBf3A=")</f>
        <v>#REF!</v>
      </c>
      <c r="DJ28" s="1" t="e">
        <f>AND(#REF!,"AAAAAGVBf3E=")</f>
        <v>#REF!</v>
      </c>
      <c r="DK28" s="1" t="e">
        <f>AND(#REF!,"AAAAAGVBf3I=")</f>
        <v>#REF!</v>
      </c>
      <c r="DL28" s="1" t="e">
        <f>AND(#REF!,"AAAAAGVBf3M=")</f>
        <v>#REF!</v>
      </c>
      <c r="DM28" s="1" t="e">
        <f>AND(#REF!,"AAAAAGVBf3Q=")</f>
        <v>#REF!</v>
      </c>
      <c r="DN28" s="1" t="e">
        <f>AND(#REF!,"AAAAAGVBf3U=")</f>
        <v>#REF!</v>
      </c>
      <c r="DO28" s="1" t="e">
        <f>AND(#REF!,"AAAAAGVBf3Y=")</f>
        <v>#REF!</v>
      </c>
      <c r="DP28" s="1" t="e">
        <f>AND(#REF!,"AAAAAGVBf3c=")</f>
        <v>#REF!</v>
      </c>
      <c r="DQ28" s="1" t="e">
        <f>AND(#REF!,"AAAAAGVBf3g=")</f>
        <v>#REF!</v>
      </c>
      <c r="DR28" s="1" t="e">
        <f>AND(#REF!,"AAAAAGVBf3k=")</f>
        <v>#REF!</v>
      </c>
      <c r="DS28" s="1" t="e">
        <f>AND(#REF!,"AAAAAGVBf3o=")</f>
        <v>#REF!</v>
      </c>
      <c r="DT28" s="1" t="e">
        <f>AND(#REF!,"AAAAAGVBf3s=")</f>
        <v>#REF!</v>
      </c>
      <c r="DU28" s="1" t="e">
        <f>AND(#REF!,"AAAAAGVBf3w=")</f>
        <v>#REF!</v>
      </c>
      <c r="DV28" s="1" t="e">
        <f>AND(#REF!,"AAAAAGVBf30=")</f>
        <v>#REF!</v>
      </c>
      <c r="DW28" s="1" t="e">
        <f>AND(#REF!,"AAAAAGVBf34=")</f>
        <v>#REF!</v>
      </c>
      <c r="DX28" s="1" t="e">
        <f>AND(#REF!,"AAAAAGVBf38=")</f>
        <v>#REF!</v>
      </c>
      <c r="DY28" s="1" t="e">
        <f>AND(#REF!,"AAAAAGVBf4A=")</f>
        <v>#REF!</v>
      </c>
      <c r="DZ28" s="1" t="e">
        <f>AND(#REF!,"AAAAAGVBf4E=")</f>
        <v>#REF!</v>
      </c>
      <c r="EA28" s="1" t="e">
        <f>AND(#REF!,"AAAAAGVBf4I=")</f>
        <v>#REF!</v>
      </c>
      <c r="EB28" s="1" t="e">
        <f>AND(#REF!,"AAAAAGVBf4M=")</f>
        <v>#REF!</v>
      </c>
      <c r="EC28" s="1" t="e">
        <f>AND(#REF!,"AAAAAGVBf4Q=")</f>
        <v>#REF!</v>
      </c>
      <c r="ED28" s="1" t="e">
        <f>AND(#REF!,"AAAAAGVBf4U=")</f>
        <v>#REF!</v>
      </c>
      <c r="EE28" s="1" t="e">
        <f>AND(#REF!,"AAAAAGVBf4Y=")</f>
        <v>#REF!</v>
      </c>
      <c r="EF28" s="1" t="e">
        <f>AND(#REF!,"AAAAAGVBf4c=")</f>
        <v>#REF!</v>
      </c>
      <c r="EG28" s="1" t="e">
        <f>AND(#REF!,"AAAAAGVBf4g=")</f>
        <v>#REF!</v>
      </c>
      <c r="EH28" s="1" t="e">
        <f>AND(#REF!,"AAAAAGVBf4k=")</f>
        <v>#REF!</v>
      </c>
      <c r="EI28" s="1" t="e">
        <f>AND(#REF!,"AAAAAGVBf4o=")</f>
        <v>#REF!</v>
      </c>
      <c r="EJ28" s="1" t="e">
        <f>AND(#REF!,"AAAAAGVBf4s=")</f>
        <v>#REF!</v>
      </c>
      <c r="EK28" s="1" t="e">
        <f>AND(#REF!,"AAAAAGVBf4w=")</f>
        <v>#REF!</v>
      </c>
      <c r="EL28" s="1" t="e">
        <f>AND(#REF!,"AAAAAGVBf40=")</f>
        <v>#REF!</v>
      </c>
      <c r="EM28" s="1" t="e">
        <f>AND(#REF!,"AAAAAGVBf44=")</f>
        <v>#REF!</v>
      </c>
      <c r="EN28" s="1" t="e">
        <f>AND(#REF!,"AAAAAGVBf48=")</f>
        <v>#REF!</v>
      </c>
      <c r="EO28" s="1" t="e">
        <f>AND(#REF!,"AAAAAGVBf5A=")</f>
        <v>#REF!</v>
      </c>
      <c r="EP28" s="1" t="e">
        <f>AND(#REF!,"AAAAAGVBf5E=")</f>
        <v>#REF!</v>
      </c>
      <c r="EQ28" s="1" t="e">
        <f>IF(#REF!,"AAAAAGVBf5I=",0)</f>
        <v>#REF!</v>
      </c>
      <c r="ER28" s="1" t="e">
        <f>AND(#REF!,"AAAAAGVBf5M=")</f>
        <v>#REF!</v>
      </c>
      <c r="ES28" s="1" t="e">
        <f>AND(#REF!,"AAAAAGVBf5Q=")</f>
        <v>#REF!</v>
      </c>
      <c r="ET28" s="1" t="e">
        <f>AND(#REF!,"AAAAAGVBf5U=")</f>
        <v>#REF!</v>
      </c>
      <c r="EU28" s="1" t="e">
        <f>AND(#REF!,"AAAAAGVBf5Y=")</f>
        <v>#REF!</v>
      </c>
      <c r="EV28" s="1" t="e">
        <f>AND(#REF!,"AAAAAGVBf5c=")</f>
        <v>#REF!</v>
      </c>
      <c r="EW28" s="1" t="e">
        <f>AND(#REF!,"AAAAAGVBf5g=")</f>
        <v>#REF!</v>
      </c>
      <c r="EX28" s="1" t="e">
        <f>AND(#REF!,"AAAAAGVBf5k=")</f>
        <v>#REF!</v>
      </c>
      <c r="EY28" s="1" t="e">
        <f>AND(#REF!,"AAAAAGVBf5o=")</f>
        <v>#REF!</v>
      </c>
      <c r="EZ28" s="1" t="e">
        <f>AND(#REF!,"AAAAAGVBf5s=")</f>
        <v>#REF!</v>
      </c>
      <c r="FA28" s="1" t="e">
        <f>AND(#REF!,"AAAAAGVBf5w=")</f>
        <v>#REF!</v>
      </c>
      <c r="FB28" s="1" t="e">
        <f>AND(#REF!,"AAAAAGVBf50=")</f>
        <v>#REF!</v>
      </c>
      <c r="FC28" s="1" t="e">
        <f>AND(#REF!,"AAAAAGVBf54=")</f>
        <v>#REF!</v>
      </c>
      <c r="FD28" s="1" t="e">
        <f>AND(#REF!,"AAAAAGVBf58=")</f>
        <v>#REF!</v>
      </c>
      <c r="FE28" s="1" t="e">
        <f>AND(#REF!,"AAAAAGVBf6A=")</f>
        <v>#REF!</v>
      </c>
      <c r="FF28" s="1" t="e">
        <f>AND(#REF!,"AAAAAGVBf6E=")</f>
        <v>#REF!</v>
      </c>
      <c r="FG28" s="1" t="e">
        <f>AND(#REF!,"AAAAAGVBf6I=")</f>
        <v>#REF!</v>
      </c>
      <c r="FH28" s="1" t="e">
        <f>AND(#REF!,"AAAAAGVBf6M=")</f>
        <v>#REF!</v>
      </c>
      <c r="FI28" s="1" t="e">
        <f>AND(#REF!,"AAAAAGVBf6Q=")</f>
        <v>#REF!</v>
      </c>
      <c r="FJ28" s="1" t="e">
        <f>AND(#REF!,"AAAAAGVBf6U=")</f>
        <v>#REF!</v>
      </c>
      <c r="FK28" s="1" t="e">
        <f>AND(#REF!,"AAAAAGVBf6Y=")</f>
        <v>#REF!</v>
      </c>
      <c r="FL28" s="1" t="e">
        <f>AND(#REF!,"AAAAAGVBf6c=")</f>
        <v>#REF!</v>
      </c>
      <c r="FM28" s="1" t="e">
        <f>AND(#REF!,"AAAAAGVBf6g=")</f>
        <v>#REF!</v>
      </c>
      <c r="FN28" s="1" t="e">
        <f>AND(#REF!,"AAAAAGVBf6k=")</f>
        <v>#REF!</v>
      </c>
      <c r="FO28" s="1" t="e">
        <f>AND(#REF!,"AAAAAGVBf6o=")</f>
        <v>#REF!</v>
      </c>
      <c r="FP28" s="1" t="e">
        <f>AND(#REF!,"AAAAAGVBf6s=")</f>
        <v>#REF!</v>
      </c>
      <c r="FQ28" s="1" t="e">
        <f>AND(#REF!,"AAAAAGVBf6w=")</f>
        <v>#REF!</v>
      </c>
      <c r="FR28" s="1" t="e">
        <f>AND(#REF!,"AAAAAGVBf60=")</f>
        <v>#REF!</v>
      </c>
      <c r="FS28" s="1" t="e">
        <f>AND(#REF!,"AAAAAGVBf64=")</f>
        <v>#REF!</v>
      </c>
      <c r="FT28" s="1" t="e">
        <f>AND(#REF!,"AAAAAGVBf68=")</f>
        <v>#REF!</v>
      </c>
      <c r="FU28" s="1" t="e">
        <f>AND(#REF!,"AAAAAGVBf7A=")</f>
        <v>#REF!</v>
      </c>
      <c r="FV28" s="1" t="e">
        <f>AND(#REF!,"AAAAAGVBf7E=")</f>
        <v>#REF!</v>
      </c>
      <c r="FW28" s="1" t="e">
        <f>AND(#REF!,"AAAAAGVBf7I=")</f>
        <v>#REF!</v>
      </c>
      <c r="FX28" s="1" t="e">
        <f>AND(#REF!,"AAAAAGVBf7M=")</f>
        <v>#REF!</v>
      </c>
      <c r="FY28" s="1" t="e">
        <f>AND(#REF!,"AAAAAGVBf7Q=")</f>
        <v>#REF!</v>
      </c>
      <c r="FZ28" s="1" t="e">
        <f>AND(#REF!,"AAAAAGVBf7U=")</f>
        <v>#REF!</v>
      </c>
      <c r="GA28" s="1" t="e">
        <f>AND(#REF!,"AAAAAGVBf7Y=")</f>
        <v>#REF!</v>
      </c>
      <c r="GB28" s="1" t="e">
        <f>AND(#REF!,"AAAAAGVBf7c=")</f>
        <v>#REF!</v>
      </c>
      <c r="GC28" s="1" t="e">
        <f>AND(#REF!,"AAAAAGVBf7g=")</f>
        <v>#REF!</v>
      </c>
      <c r="GD28" s="1" t="e">
        <f>AND(#REF!,"AAAAAGVBf7k=")</f>
        <v>#REF!</v>
      </c>
      <c r="GE28" s="1" t="e">
        <f>AND(#REF!,"AAAAAGVBf7o=")</f>
        <v>#REF!</v>
      </c>
      <c r="GF28" s="1" t="e">
        <f>AND(#REF!,"AAAAAGVBf7s=")</f>
        <v>#REF!</v>
      </c>
      <c r="GG28" s="1" t="e">
        <f>AND(#REF!,"AAAAAGVBf7w=")</f>
        <v>#REF!</v>
      </c>
      <c r="GH28" s="1" t="e">
        <f>AND(#REF!,"AAAAAGVBf70=")</f>
        <v>#REF!</v>
      </c>
      <c r="GI28" s="1" t="e">
        <f>AND(#REF!,"AAAAAGVBf74=")</f>
        <v>#REF!</v>
      </c>
      <c r="GJ28" s="1" t="e">
        <f>AND(#REF!,"AAAAAGVBf78=")</f>
        <v>#REF!</v>
      </c>
      <c r="GK28" s="1" t="e">
        <f>AND(#REF!,"AAAAAGVBf8A=")</f>
        <v>#REF!</v>
      </c>
      <c r="GL28" s="1" t="e">
        <f>AND(#REF!,"AAAAAGVBf8E=")</f>
        <v>#REF!</v>
      </c>
      <c r="GM28" s="1" t="e">
        <f>AND(#REF!,"AAAAAGVBf8I=")</f>
        <v>#REF!</v>
      </c>
      <c r="GN28" s="1" t="e">
        <f>AND(#REF!,"AAAAAGVBf8M=")</f>
        <v>#REF!</v>
      </c>
      <c r="GO28" s="1" t="e">
        <f>AND(#REF!,"AAAAAGVBf8Q=")</f>
        <v>#REF!</v>
      </c>
      <c r="GP28" s="1" t="e">
        <f>AND(#REF!,"AAAAAGVBf8U=")</f>
        <v>#REF!</v>
      </c>
      <c r="GQ28" s="1" t="e">
        <f>AND(#REF!,"AAAAAGVBf8Y=")</f>
        <v>#REF!</v>
      </c>
      <c r="GR28" s="1" t="e">
        <f>AND(#REF!,"AAAAAGVBf8c=")</f>
        <v>#REF!</v>
      </c>
      <c r="GS28" s="1" t="e">
        <f>AND(#REF!,"AAAAAGVBf8g=")</f>
        <v>#REF!</v>
      </c>
      <c r="GT28" s="1" t="e">
        <f>AND(#REF!,"AAAAAGVBf8k=")</f>
        <v>#REF!</v>
      </c>
      <c r="GU28" s="1" t="e">
        <f>AND(#REF!,"AAAAAGVBf8o=")</f>
        <v>#REF!</v>
      </c>
      <c r="GV28" s="1" t="e">
        <f>AND(#REF!,"AAAAAGVBf8s=")</f>
        <v>#REF!</v>
      </c>
      <c r="GW28" s="1" t="e">
        <f>AND(#REF!,"AAAAAGVBf8w=")</f>
        <v>#REF!</v>
      </c>
      <c r="GX28" s="1" t="e">
        <f>AND(#REF!,"AAAAAGVBf80=")</f>
        <v>#REF!</v>
      </c>
      <c r="GY28" s="1" t="e">
        <f>AND(#REF!,"AAAAAGVBf84=")</f>
        <v>#REF!</v>
      </c>
      <c r="GZ28" s="1" t="e">
        <f>AND(#REF!,"AAAAAGVBf88=")</f>
        <v>#REF!</v>
      </c>
      <c r="HA28" s="1" t="e">
        <f>AND(#REF!,"AAAAAGVBf9A=")</f>
        <v>#REF!</v>
      </c>
      <c r="HB28" s="1" t="e">
        <f>AND(#REF!,"AAAAAGVBf9E=")</f>
        <v>#REF!</v>
      </c>
      <c r="HC28" s="1" t="e">
        <f>AND(#REF!,"AAAAAGVBf9I=")</f>
        <v>#REF!</v>
      </c>
      <c r="HD28" s="1" t="e">
        <f>AND(#REF!,"AAAAAGVBf9M=")</f>
        <v>#REF!</v>
      </c>
      <c r="HE28" s="1" t="e">
        <f>AND(#REF!,"AAAAAGVBf9Q=")</f>
        <v>#REF!</v>
      </c>
      <c r="HF28" s="1" t="e">
        <f>AND(#REF!,"AAAAAGVBf9U=")</f>
        <v>#REF!</v>
      </c>
      <c r="HG28" s="1" t="e">
        <f>AND(#REF!,"AAAAAGVBf9Y=")</f>
        <v>#REF!</v>
      </c>
      <c r="HH28" s="1" t="e">
        <f>AND(#REF!,"AAAAAGVBf9c=")</f>
        <v>#REF!</v>
      </c>
      <c r="HI28" s="1" t="e">
        <f>AND(#REF!,"AAAAAGVBf9g=")</f>
        <v>#REF!</v>
      </c>
      <c r="HJ28" s="1" t="e">
        <f>AND(#REF!,"AAAAAGVBf9k=")</f>
        <v>#REF!</v>
      </c>
      <c r="HK28" s="1" t="e">
        <f>AND(#REF!,"AAAAAGVBf9o=")</f>
        <v>#REF!</v>
      </c>
      <c r="HL28" s="1" t="e">
        <f>AND(#REF!,"AAAAAGVBf9s=")</f>
        <v>#REF!</v>
      </c>
      <c r="HM28" s="1" t="e">
        <f>AND(#REF!,"AAAAAGVBf9w=")</f>
        <v>#REF!</v>
      </c>
      <c r="HN28" s="1" t="e">
        <f>AND(#REF!,"AAAAAGVBf90=")</f>
        <v>#REF!</v>
      </c>
      <c r="HO28" s="1" t="e">
        <f>AND(#REF!,"AAAAAGVBf94=")</f>
        <v>#REF!</v>
      </c>
      <c r="HP28" s="1" t="e">
        <f>AND(#REF!,"AAAAAGVBf98=")</f>
        <v>#REF!</v>
      </c>
      <c r="HQ28" s="1" t="e">
        <f>AND(#REF!,"AAAAAGVBf+A=")</f>
        <v>#REF!</v>
      </c>
      <c r="HR28" s="1" t="e">
        <f>AND(#REF!,"AAAAAGVBf+E=")</f>
        <v>#REF!</v>
      </c>
      <c r="HS28" s="1" t="e">
        <f>AND(#REF!,"AAAAAGVBf+I=")</f>
        <v>#REF!</v>
      </c>
      <c r="HT28" s="1" t="e">
        <f>AND(#REF!,"AAAAAGVBf+M=")</f>
        <v>#REF!</v>
      </c>
      <c r="HU28" s="1" t="e">
        <f>AND(#REF!,"AAAAAGVBf+Q=")</f>
        <v>#REF!</v>
      </c>
      <c r="HV28" s="1" t="e">
        <f>AND(#REF!,"AAAAAGVBf+U=")</f>
        <v>#REF!</v>
      </c>
      <c r="HW28" s="1" t="e">
        <f>AND(#REF!,"AAAAAGVBf+Y=")</f>
        <v>#REF!</v>
      </c>
      <c r="HX28" s="1" t="e">
        <f>AND(#REF!,"AAAAAGVBf+c=")</f>
        <v>#REF!</v>
      </c>
      <c r="HY28" s="1" t="e">
        <f>AND(#REF!,"AAAAAGVBf+g=")</f>
        <v>#REF!</v>
      </c>
      <c r="HZ28" s="1" t="e">
        <f>AND(#REF!,"AAAAAGVBf+k=")</f>
        <v>#REF!</v>
      </c>
      <c r="IA28" s="1" t="e">
        <f>AND(#REF!,"AAAAAGVBf+o=")</f>
        <v>#REF!</v>
      </c>
      <c r="IB28" s="1" t="e">
        <f>AND(#REF!,"AAAAAGVBf+s=")</f>
        <v>#REF!</v>
      </c>
      <c r="IC28" s="1" t="e">
        <f>AND(#REF!,"AAAAAGVBf+w=")</f>
        <v>#REF!</v>
      </c>
      <c r="ID28" s="1" t="e">
        <f>AND(#REF!,"AAAAAGVBf+0=")</f>
        <v>#REF!</v>
      </c>
      <c r="IE28" s="1" t="e">
        <f>AND(#REF!,"AAAAAGVBf+4=")</f>
        <v>#REF!</v>
      </c>
      <c r="IF28" s="1" t="e">
        <f>AND(#REF!,"AAAAAGVBf+8=")</f>
        <v>#REF!</v>
      </c>
      <c r="IG28" s="1" t="e">
        <f>AND(#REF!,"AAAAAGVBf/A=")</f>
        <v>#REF!</v>
      </c>
      <c r="IH28" s="1" t="e">
        <f>AND(#REF!,"AAAAAGVBf/E=")</f>
        <v>#REF!</v>
      </c>
      <c r="II28" s="1" t="e">
        <f>AND(#REF!,"AAAAAGVBf/I=")</f>
        <v>#REF!</v>
      </c>
      <c r="IJ28" s="1" t="e">
        <f>AND(#REF!,"AAAAAGVBf/M=")</f>
        <v>#REF!</v>
      </c>
      <c r="IK28" s="1" t="e">
        <f>AND(#REF!,"AAAAAGVBf/Q=")</f>
        <v>#REF!</v>
      </c>
      <c r="IL28" s="1" t="e">
        <f>AND(#REF!,"AAAAAGVBf/U=")</f>
        <v>#REF!</v>
      </c>
      <c r="IM28" s="1" t="e">
        <f>AND(#REF!,"AAAAAGVBf/Y=")</f>
        <v>#REF!</v>
      </c>
      <c r="IN28" s="1" t="e">
        <f>AND(#REF!,"AAAAAGVBf/c=")</f>
        <v>#REF!</v>
      </c>
      <c r="IO28" s="1" t="e">
        <f>AND(#REF!,"AAAAAGVBf/g=")</f>
        <v>#REF!</v>
      </c>
      <c r="IP28" s="1" t="e">
        <f>IF(#REF!,"AAAAAGVBf/k=",0)</f>
        <v>#REF!</v>
      </c>
      <c r="IQ28" s="1" t="e">
        <f>AND(#REF!,"AAAAAGVBf/o=")</f>
        <v>#REF!</v>
      </c>
      <c r="IR28" s="1" t="e">
        <f>AND(#REF!,"AAAAAGVBf/s=")</f>
        <v>#REF!</v>
      </c>
      <c r="IS28" s="1" t="e">
        <f>AND(#REF!,"AAAAAGVBf/w=")</f>
        <v>#REF!</v>
      </c>
      <c r="IT28" s="1" t="e">
        <f>AND(#REF!,"AAAAAGVBf/0=")</f>
        <v>#REF!</v>
      </c>
      <c r="IU28" s="1" t="e">
        <f>AND(#REF!,"AAAAAGVBf/4=")</f>
        <v>#REF!</v>
      </c>
      <c r="IV28" s="1" t="e">
        <f>AND(#REF!,"AAAAAGVBf/8=")</f>
        <v>#REF!</v>
      </c>
    </row>
    <row r="29" spans="1:256" ht="15" customHeight="1" x14ac:dyDescent="0.2">
      <c r="A29" s="1" t="e">
        <f>AND(#REF!,"AAAAAH3//gA=")</f>
        <v>#REF!</v>
      </c>
      <c r="B29" s="1" t="e">
        <f>AND(#REF!,"AAAAAH3//gE=")</f>
        <v>#REF!</v>
      </c>
      <c r="C29" s="1" t="e">
        <f>AND(#REF!,"AAAAAH3//gI=")</f>
        <v>#REF!</v>
      </c>
      <c r="D29" s="1" t="e">
        <f>AND(#REF!,"AAAAAH3//gM=")</f>
        <v>#REF!</v>
      </c>
      <c r="E29" s="1" t="e">
        <f>AND(#REF!,"AAAAAH3//gQ=")</f>
        <v>#REF!</v>
      </c>
      <c r="F29" s="1" t="e">
        <f>AND(#REF!,"AAAAAH3//gU=")</f>
        <v>#REF!</v>
      </c>
      <c r="G29" s="1" t="e">
        <f>AND(#REF!,"AAAAAH3//gY=")</f>
        <v>#REF!</v>
      </c>
      <c r="H29" s="1" t="e">
        <f>AND(#REF!,"AAAAAH3//gc=")</f>
        <v>#REF!</v>
      </c>
      <c r="I29" s="1" t="e">
        <f>AND(#REF!,"AAAAAH3//gg=")</f>
        <v>#REF!</v>
      </c>
      <c r="J29" s="1" t="e">
        <f>AND(#REF!,"AAAAAH3//gk=")</f>
        <v>#REF!</v>
      </c>
      <c r="K29" s="1" t="e">
        <f>AND(#REF!,"AAAAAH3//go=")</f>
        <v>#REF!</v>
      </c>
      <c r="L29" s="1" t="e">
        <f>AND(#REF!,"AAAAAH3//gs=")</f>
        <v>#REF!</v>
      </c>
      <c r="M29" s="1" t="e">
        <f>AND(#REF!,"AAAAAH3//gw=")</f>
        <v>#REF!</v>
      </c>
      <c r="N29" s="1" t="e">
        <f>AND(#REF!,"AAAAAH3//g0=")</f>
        <v>#REF!</v>
      </c>
      <c r="O29" s="1" t="e">
        <f>AND(#REF!,"AAAAAH3//g4=")</f>
        <v>#REF!</v>
      </c>
      <c r="P29" s="1" t="e">
        <f>AND(#REF!,"AAAAAH3//g8=")</f>
        <v>#REF!</v>
      </c>
      <c r="Q29" s="1" t="e">
        <f>AND(#REF!,"AAAAAH3//hA=")</f>
        <v>#REF!</v>
      </c>
      <c r="R29" s="1" t="e">
        <f>AND(#REF!,"AAAAAH3//hE=")</f>
        <v>#REF!</v>
      </c>
      <c r="S29" s="1" t="e">
        <f>AND(#REF!,"AAAAAH3//hI=")</f>
        <v>#REF!</v>
      </c>
      <c r="T29" s="1" t="e">
        <f>AND(#REF!,"AAAAAH3//hM=")</f>
        <v>#REF!</v>
      </c>
      <c r="U29" s="1" t="e">
        <f>AND(#REF!,"AAAAAH3//hQ=")</f>
        <v>#REF!</v>
      </c>
      <c r="V29" s="1" t="e">
        <f>AND(#REF!,"AAAAAH3//hU=")</f>
        <v>#REF!</v>
      </c>
      <c r="W29" s="1" t="e">
        <f>AND(#REF!,"AAAAAH3//hY=")</f>
        <v>#REF!</v>
      </c>
      <c r="X29" s="1" t="e">
        <f>AND(#REF!,"AAAAAH3//hc=")</f>
        <v>#REF!</v>
      </c>
      <c r="Y29" s="1" t="e">
        <f>AND(#REF!,"AAAAAH3//hg=")</f>
        <v>#REF!</v>
      </c>
      <c r="Z29" s="1" t="e">
        <f>AND(#REF!,"AAAAAH3//hk=")</f>
        <v>#REF!</v>
      </c>
      <c r="AA29" s="1" t="e">
        <f>AND(#REF!,"AAAAAH3//ho=")</f>
        <v>#REF!</v>
      </c>
      <c r="AB29" s="1" t="e">
        <f>AND(#REF!,"AAAAAH3//hs=")</f>
        <v>#REF!</v>
      </c>
      <c r="AC29" s="1" t="e">
        <f>AND(#REF!,"AAAAAH3//hw=")</f>
        <v>#REF!</v>
      </c>
      <c r="AD29" s="1" t="e">
        <f>AND(#REF!,"AAAAAH3//h0=")</f>
        <v>#REF!</v>
      </c>
      <c r="AE29" s="1" t="e">
        <f>AND(#REF!,"AAAAAH3//h4=")</f>
        <v>#REF!</v>
      </c>
      <c r="AF29" s="1" t="e">
        <f>AND(#REF!,"AAAAAH3//h8=")</f>
        <v>#REF!</v>
      </c>
      <c r="AG29" s="1" t="e">
        <f>AND(#REF!,"AAAAAH3//iA=")</f>
        <v>#REF!</v>
      </c>
      <c r="AH29" s="1" t="e">
        <f>AND(#REF!,"AAAAAH3//iE=")</f>
        <v>#REF!</v>
      </c>
      <c r="AI29" s="1" t="e">
        <f>AND(#REF!,"AAAAAH3//iI=")</f>
        <v>#REF!</v>
      </c>
      <c r="AJ29" s="1" t="e">
        <f>AND(#REF!,"AAAAAH3//iM=")</f>
        <v>#REF!</v>
      </c>
      <c r="AK29" s="1" t="e">
        <f>AND(#REF!,"AAAAAH3//iQ=")</f>
        <v>#REF!</v>
      </c>
      <c r="AL29" s="1" t="e">
        <f>AND(#REF!,"AAAAAH3//iU=")</f>
        <v>#REF!</v>
      </c>
      <c r="AM29" s="1" t="e">
        <f>AND(#REF!,"AAAAAH3//iY=")</f>
        <v>#REF!</v>
      </c>
      <c r="AN29" s="1" t="e">
        <f>AND(#REF!,"AAAAAH3//ic=")</f>
        <v>#REF!</v>
      </c>
      <c r="AO29" s="1" t="e">
        <f>AND(#REF!,"AAAAAH3//ig=")</f>
        <v>#REF!</v>
      </c>
      <c r="AP29" s="1" t="e">
        <f>AND(#REF!,"AAAAAH3//ik=")</f>
        <v>#REF!</v>
      </c>
      <c r="AQ29" s="1" t="e">
        <f>AND(#REF!,"AAAAAH3//io=")</f>
        <v>#REF!</v>
      </c>
      <c r="AR29" s="1" t="e">
        <f>AND(#REF!,"AAAAAH3//is=")</f>
        <v>#REF!</v>
      </c>
      <c r="AS29" s="1" t="e">
        <f>AND(#REF!,"AAAAAH3//iw=")</f>
        <v>#REF!</v>
      </c>
      <c r="AT29" s="1" t="e">
        <f>AND(#REF!,"AAAAAH3//i0=")</f>
        <v>#REF!</v>
      </c>
      <c r="AU29" s="1" t="e">
        <f>AND(#REF!,"AAAAAH3//i4=")</f>
        <v>#REF!</v>
      </c>
      <c r="AV29" s="1" t="e">
        <f>AND(#REF!,"AAAAAH3//i8=")</f>
        <v>#REF!</v>
      </c>
      <c r="AW29" s="1" t="e">
        <f>AND(#REF!,"AAAAAH3//jA=")</f>
        <v>#REF!</v>
      </c>
      <c r="AX29" s="1" t="e">
        <f>AND(#REF!,"AAAAAH3//jE=")</f>
        <v>#REF!</v>
      </c>
      <c r="AY29" s="1" t="e">
        <f>AND(#REF!,"AAAAAH3//jI=")</f>
        <v>#REF!</v>
      </c>
      <c r="AZ29" s="1" t="e">
        <f>AND(#REF!,"AAAAAH3//jM=")</f>
        <v>#REF!</v>
      </c>
      <c r="BA29" s="1" t="e">
        <f>AND(#REF!,"AAAAAH3//jQ=")</f>
        <v>#REF!</v>
      </c>
      <c r="BB29" s="1" t="e">
        <f>AND(#REF!,"AAAAAH3//jU=")</f>
        <v>#REF!</v>
      </c>
      <c r="BC29" s="1" t="e">
        <f>AND(#REF!,"AAAAAH3//jY=")</f>
        <v>#REF!</v>
      </c>
      <c r="BD29" s="1" t="e">
        <f>AND(#REF!,"AAAAAH3//jc=")</f>
        <v>#REF!</v>
      </c>
      <c r="BE29" s="1" t="e">
        <f>AND(#REF!,"AAAAAH3//jg=")</f>
        <v>#REF!</v>
      </c>
      <c r="BF29" s="1" t="e">
        <f>AND(#REF!,"AAAAAH3//jk=")</f>
        <v>#REF!</v>
      </c>
      <c r="BG29" s="1" t="e">
        <f>AND(#REF!,"AAAAAH3//jo=")</f>
        <v>#REF!</v>
      </c>
      <c r="BH29" s="1" t="e">
        <f>AND(#REF!,"AAAAAH3//js=")</f>
        <v>#REF!</v>
      </c>
      <c r="BI29" s="1" t="e">
        <f>AND(#REF!,"AAAAAH3//jw=")</f>
        <v>#REF!</v>
      </c>
      <c r="BJ29" s="1" t="e">
        <f>AND(#REF!,"AAAAAH3//j0=")</f>
        <v>#REF!</v>
      </c>
      <c r="BK29" s="1" t="e">
        <f>AND(#REF!,"AAAAAH3//j4=")</f>
        <v>#REF!</v>
      </c>
      <c r="BL29" s="1" t="e">
        <f>AND(#REF!,"AAAAAH3//j8=")</f>
        <v>#REF!</v>
      </c>
      <c r="BM29" s="1" t="e">
        <f>AND(#REF!,"AAAAAH3//kA=")</f>
        <v>#REF!</v>
      </c>
      <c r="BN29" s="1" t="e">
        <f>AND(#REF!,"AAAAAH3//kE=")</f>
        <v>#REF!</v>
      </c>
      <c r="BO29" s="1" t="e">
        <f>AND(#REF!,"AAAAAH3//kI=")</f>
        <v>#REF!</v>
      </c>
      <c r="BP29" s="1" t="e">
        <f>AND(#REF!,"AAAAAH3//kM=")</f>
        <v>#REF!</v>
      </c>
      <c r="BQ29" s="1" t="e">
        <f>AND(#REF!,"AAAAAH3//kQ=")</f>
        <v>#REF!</v>
      </c>
      <c r="BR29" s="1" t="e">
        <f>AND(#REF!,"AAAAAH3//kU=")</f>
        <v>#REF!</v>
      </c>
      <c r="BS29" s="1" t="e">
        <f>AND(#REF!,"AAAAAH3//kY=")</f>
        <v>#REF!</v>
      </c>
      <c r="BT29" s="1" t="e">
        <f>AND(#REF!,"AAAAAH3//kc=")</f>
        <v>#REF!</v>
      </c>
      <c r="BU29" s="1" t="e">
        <f>AND(#REF!,"AAAAAH3//kg=")</f>
        <v>#REF!</v>
      </c>
      <c r="BV29" s="1" t="e">
        <f>AND(#REF!,"AAAAAH3//kk=")</f>
        <v>#REF!</v>
      </c>
      <c r="BW29" s="1" t="e">
        <f>AND(#REF!,"AAAAAH3//ko=")</f>
        <v>#REF!</v>
      </c>
      <c r="BX29" s="1" t="e">
        <f>AND(#REF!,"AAAAAH3//ks=")</f>
        <v>#REF!</v>
      </c>
      <c r="BY29" s="1" t="e">
        <f>AND(#REF!,"AAAAAH3//kw=")</f>
        <v>#REF!</v>
      </c>
      <c r="BZ29" s="1" t="e">
        <f>AND(#REF!,"AAAAAH3//k0=")</f>
        <v>#REF!</v>
      </c>
      <c r="CA29" s="1" t="e">
        <f>AND(#REF!,"AAAAAH3//k4=")</f>
        <v>#REF!</v>
      </c>
      <c r="CB29" s="1" t="e">
        <f>AND(#REF!,"AAAAAH3//k8=")</f>
        <v>#REF!</v>
      </c>
      <c r="CC29" s="1" t="e">
        <f>AND(#REF!,"AAAAAH3//lA=")</f>
        <v>#REF!</v>
      </c>
      <c r="CD29" s="1" t="e">
        <f>AND(#REF!,"AAAAAH3//lE=")</f>
        <v>#REF!</v>
      </c>
      <c r="CE29" s="1" t="e">
        <f>AND(#REF!,"AAAAAH3//lI=")</f>
        <v>#REF!</v>
      </c>
      <c r="CF29" s="1" t="e">
        <f>AND(#REF!,"AAAAAH3//lM=")</f>
        <v>#REF!</v>
      </c>
      <c r="CG29" s="1" t="e">
        <f>AND(#REF!,"AAAAAH3//lQ=")</f>
        <v>#REF!</v>
      </c>
      <c r="CH29" s="1" t="e">
        <f>AND(#REF!,"AAAAAH3//lU=")</f>
        <v>#REF!</v>
      </c>
      <c r="CI29" s="1" t="e">
        <f>AND(#REF!,"AAAAAH3//lY=")</f>
        <v>#REF!</v>
      </c>
      <c r="CJ29" s="1" t="e">
        <f>AND(#REF!,"AAAAAH3//lc=")</f>
        <v>#REF!</v>
      </c>
      <c r="CK29" s="1" t="e">
        <f>AND(#REF!,"AAAAAH3//lg=")</f>
        <v>#REF!</v>
      </c>
      <c r="CL29" s="1" t="e">
        <f>AND(#REF!,"AAAAAH3//lk=")</f>
        <v>#REF!</v>
      </c>
      <c r="CM29" s="1" t="e">
        <f>AND(#REF!,"AAAAAH3//lo=")</f>
        <v>#REF!</v>
      </c>
      <c r="CN29" s="1" t="e">
        <f>AND(#REF!,"AAAAAH3//ls=")</f>
        <v>#REF!</v>
      </c>
      <c r="CO29" s="1" t="e">
        <f>AND(#REF!,"AAAAAH3//lw=")</f>
        <v>#REF!</v>
      </c>
      <c r="CP29" s="1" t="e">
        <f>AND(#REF!,"AAAAAH3//l0=")</f>
        <v>#REF!</v>
      </c>
      <c r="CQ29" s="1" t="e">
        <f>AND(#REF!,"AAAAAH3//l4=")</f>
        <v>#REF!</v>
      </c>
      <c r="CR29" s="1" t="e">
        <f>AND(#REF!,"AAAAAH3//l8=")</f>
        <v>#REF!</v>
      </c>
      <c r="CS29" s="1" t="e">
        <f>IF(#REF!,"AAAAAH3//mA=",0)</f>
        <v>#REF!</v>
      </c>
      <c r="CT29" s="1" t="e">
        <f>AND(#REF!,"AAAAAH3//mE=")</f>
        <v>#REF!</v>
      </c>
      <c r="CU29" s="1" t="e">
        <f>AND(#REF!,"AAAAAH3//mI=")</f>
        <v>#REF!</v>
      </c>
      <c r="CV29" s="1" t="e">
        <f>AND(#REF!,"AAAAAH3//mM=")</f>
        <v>#REF!</v>
      </c>
      <c r="CW29" s="1" t="e">
        <f>AND(#REF!,"AAAAAH3//mQ=")</f>
        <v>#REF!</v>
      </c>
      <c r="CX29" s="1" t="e">
        <f>AND(#REF!,"AAAAAH3//mU=")</f>
        <v>#REF!</v>
      </c>
      <c r="CY29" s="1" t="e">
        <f>AND(#REF!,"AAAAAH3//mY=")</f>
        <v>#REF!</v>
      </c>
      <c r="CZ29" s="1" t="e">
        <f>AND(#REF!,"AAAAAH3//mc=")</f>
        <v>#REF!</v>
      </c>
      <c r="DA29" s="1" t="e">
        <f>AND(#REF!,"AAAAAH3//mg=")</f>
        <v>#REF!</v>
      </c>
      <c r="DB29" s="1" t="e">
        <f>AND(#REF!,"AAAAAH3//mk=")</f>
        <v>#REF!</v>
      </c>
      <c r="DC29" s="1" t="e">
        <f>AND(#REF!,"AAAAAH3//mo=")</f>
        <v>#REF!</v>
      </c>
      <c r="DD29" s="1" t="e">
        <f>AND(#REF!,"AAAAAH3//ms=")</f>
        <v>#REF!</v>
      </c>
      <c r="DE29" s="1" t="e">
        <f>AND(#REF!,"AAAAAH3//mw=")</f>
        <v>#REF!</v>
      </c>
      <c r="DF29" s="1" t="e">
        <f>AND(#REF!,"AAAAAH3//m0=")</f>
        <v>#REF!</v>
      </c>
      <c r="DG29" s="1" t="e">
        <f>AND(#REF!,"AAAAAH3//m4=")</f>
        <v>#REF!</v>
      </c>
      <c r="DH29" s="1" t="e">
        <f>AND(#REF!,"AAAAAH3//m8=")</f>
        <v>#REF!</v>
      </c>
      <c r="DI29" s="1" t="e">
        <f>AND(#REF!,"AAAAAH3//nA=")</f>
        <v>#REF!</v>
      </c>
      <c r="DJ29" s="1" t="e">
        <f>AND(#REF!,"AAAAAH3//nE=")</f>
        <v>#REF!</v>
      </c>
      <c r="DK29" s="1" t="e">
        <f>AND(#REF!,"AAAAAH3//nI=")</f>
        <v>#REF!</v>
      </c>
      <c r="DL29" s="1" t="e">
        <f>AND(#REF!,"AAAAAH3//nM=")</f>
        <v>#REF!</v>
      </c>
      <c r="DM29" s="1" t="e">
        <f>AND(#REF!,"AAAAAH3//nQ=")</f>
        <v>#REF!</v>
      </c>
      <c r="DN29" s="1" t="e">
        <f>AND(#REF!,"AAAAAH3//nU=")</f>
        <v>#REF!</v>
      </c>
      <c r="DO29" s="1" t="e">
        <f>AND(#REF!,"AAAAAH3//nY=")</f>
        <v>#REF!</v>
      </c>
      <c r="DP29" s="1" t="e">
        <f>AND(#REF!,"AAAAAH3//nc=")</f>
        <v>#REF!</v>
      </c>
      <c r="DQ29" s="1" t="e">
        <f>AND(#REF!,"AAAAAH3//ng=")</f>
        <v>#REF!</v>
      </c>
      <c r="DR29" s="1" t="e">
        <f>AND(#REF!,"AAAAAH3//nk=")</f>
        <v>#REF!</v>
      </c>
      <c r="DS29" s="1" t="e">
        <f>AND(#REF!,"AAAAAH3//no=")</f>
        <v>#REF!</v>
      </c>
      <c r="DT29" s="1" t="e">
        <f>AND(#REF!,"AAAAAH3//ns=")</f>
        <v>#REF!</v>
      </c>
      <c r="DU29" s="1" t="e">
        <f>AND(#REF!,"AAAAAH3//nw=")</f>
        <v>#REF!</v>
      </c>
      <c r="DV29" s="1" t="e">
        <f>AND(#REF!,"AAAAAH3//n0=")</f>
        <v>#REF!</v>
      </c>
      <c r="DW29" s="1" t="e">
        <f>AND(#REF!,"AAAAAH3//n4=")</f>
        <v>#REF!</v>
      </c>
      <c r="DX29" s="1" t="e">
        <f>AND(#REF!,"AAAAAH3//n8=")</f>
        <v>#REF!</v>
      </c>
      <c r="DY29" s="1" t="e">
        <f>AND(#REF!,"AAAAAH3//oA=")</f>
        <v>#REF!</v>
      </c>
      <c r="DZ29" s="1" t="e">
        <f>AND(#REF!,"AAAAAH3//oE=")</f>
        <v>#REF!</v>
      </c>
      <c r="EA29" s="1" t="e">
        <f>AND(#REF!,"AAAAAH3//oI=")</f>
        <v>#REF!</v>
      </c>
      <c r="EB29" s="1" t="e">
        <f>AND(#REF!,"AAAAAH3//oM=")</f>
        <v>#REF!</v>
      </c>
      <c r="EC29" s="1" t="e">
        <f>AND(#REF!,"AAAAAH3//oQ=")</f>
        <v>#REF!</v>
      </c>
      <c r="ED29" s="1" t="e">
        <f>AND(#REF!,"AAAAAH3//oU=")</f>
        <v>#REF!</v>
      </c>
      <c r="EE29" s="1" t="e">
        <f>AND(#REF!,"AAAAAH3//oY=")</f>
        <v>#REF!</v>
      </c>
      <c r="EF29" s="1" t="e">
        <f>AND(#REF!,"AAAAAH3//oc=")</f>
        <v>#REF!</v>
      </c>
      <c r="EG29" s="1" t="e">
        <f>AND(#REF!,"AAAAAH3//og=")</f>
        <v>#REF!</v>
      </c>
      <c r="EH29" s="1" t="e">
        <f>AND(#REF!,"AAAAAH3//ok=")</f>
        <v>#REF!</v>
      </c>
      <c r="EI29" s="1" t="e">
        <f>AND(#REF!,"AAAAAH3//oo=")</f>
        <v>#REF!</v>
      </c>
      <c r="EJ29" s="1" t="e">
        <f>AND(#REF!,"AAAAAH3//os=")</f>
        <v>#REF!</v>
      </c>
      <c r="EK29" s="1" t="e">
        <f>AND(#REF!,"AAAAAH3//ow=")</f>
        <v>#REF!</v>
      </c>
      <c r="EL29" s="1" t="e">
        <f>AND(#REF!,"AAAAAH3//o0=")</f>
        <v>#REF!</v>
      </c>
      <c r="EM29" s="1" t="e">
        <f>AND(#REF!,"AAAAAH3//o4=")</f>
        <v>#REF!</v>
      </c>
      <c r="EN29" s="1" t="e">
        <f>AND(#REF!,"AAAAAH3//o8=")</f>
        <v>#REF!</v>
      </c>
      <c r="EO29" s="1" t="e">
        <f>AND(#REF!,"AAAAAH3//pA=")</f>
        <v>#REF!</v>
      </c>
      <c r="EP29" s="1" t="e">
        <f>AND(#REF!,"AAAAAH3//pE=")</f>
        <v>#REF!</v>
      </c>
      <c r="EQ29" s="1" t="e">
        <f>AND(#REF!,"AAAAAH3//pI=")</f>
        <v>#REF!</v>
      </c>
      <c r="ER29" s="1" t="e">
        <f>AND(#REF!,"AAAAAH3//pM=")</f>
        <v>#REF!</v>
      </c>
      <c r="ES29" s="1" t="e">
        <f>AND(#REF!,"AAAAAH3//pQ=")</f>
        <v>#REF!</v>
      </c>
      <c r="ET29" s="1" t="e">
        <f>AND(#REF!,"AAAAAH3//pU=")</f>
        <v>#REF!</v>
      </c>
      <c r="EU29" s="1" t="e">
        <f>AND(#REF!,"AAAAAH3//pY=")</f>
        <v>#REF!</v>
      </c>
      <c r="EV29" s="1" t="e">
        <f>AND(#REF!,"AAAAAH3//pc=")</f>
        <v>#REF!</v>
      </c>
      <c r="EW29" s="1" t="e">
        <f>AND(#REF!,"AAAAAH3//pg=")</f>
        <v>#REF!</v>
      </c>
      <c r="EX29" s="1" t="e">
        <f>AND(#REF!,"AAAAAH3//pk=")</f>
        <v>#REF!</v>
      </c>
      <c r="EY29" s="1" t="e">
        <f>AND(#REF!,"AAAAAH3//po=")</f>
        <v>#REF!</v>
      </c>
      <c r="EZ29" s="1" t="e">
        <f>AND(#REF!,"AAAAAH3//ps=")</f>
        <v>#REF!</v>
      </c>
      <c r="FA29" s="1" t="e">
        <f>AND(#REF!,"AAAAAH3//pw=")</f>
        <v>#REF!</v>
      </c>
      <c r="FB29" s="1" t="e">
        <f>AND(#REF!,"AAAAAH3//p0=")</f>
        <v>#REF!</v>
      </c>
      <c r="FC29" s="1" t="e">
        <f>AND(#REF!,"AAAAAH3//p4=")</f>
        <v>#REF!</v>
      </c>
      <c r="FD29" s="1" t="e">
        <f>AND(#REF!,"AAAAAH3//p8=")</f>
        <v>#REF!</v>
      </c>
      <c r="FE29" s="1" t="e">
        <f>AND(#REF!,"AAAAAH3//qA=")</f>
        <v>#REF!</v>
      </c>
      <c r="FF29" s="1" t="e">
        <f>AND(#REF!,"AAAAAH3//qE=")</f>
        <v>#REF!</v>
      </c>
      <c r="FG29" s="1" t="e">
        <f>AND(#REF!,"AAAAAH3//qI=")</f>
        <v>#REF!</v>
      </c>
      <c r="FH29" s="1" t="e">
        <f>AND(#REF!,"AAAAAH3//qM=")</f>
        <v>#REF!</v>
      </c>
      <c r="FI29" s="1" t="e">
        <f>AND(#REF!,"AAAAAH3//qQ=")</f>
        <v>#REF!</v>
      </c>
      <c r="FJ29" s="1" t="e">
        <f>AND(#REF!,"AAAAAH3//qU=")</f>
        <v>#REF!</v>
      </c>
      <c r="FK29" s="1" t="e">
        <f>AND(#REF!,"AAAAAH3//qY=")</f>
        <v>#REF!</v>
      </c>
      <c r="FL29" s="1" t="e">
        <f>AND(#REF!,"AAAAAH3//qc=")</f>
        <v>#REF!</v>
      </c>
      <c r="FM29" s="1" t="e">
        <f>AND(#REF!,"AAAAAH3//qg=")</f>
        <v>#REF!</v>
      </c>
      <c r="FN29" s="1" t="e">
        <f>AND(#REF!,"AAAAAH3//qk=")</f>
        <v>#REF!</v>
      </c>
      <c r="FO29" s="1" t="e">
        <f>AND(#REF!,"AAAAAH3//qo=")</f>
        <v>#REF!</v>
      </c>
      <c r="FP29" s="1" t="e">
        <f>AND(#REF!,"AAAAAH3//qs=")</f>
        <v>#REF!</v>
      </c>
      <c r="FQ29" s="1" t="e">
        <f>AND(#REF!,"AAAAAH3//qw=")</f>
        <v>#REF!</v>
      </c>
      <c r="FR29" s="1" t="e">
        <f>AND(#REF!,"AAAAAH3//q0=")</f>
        <v>#REF!</v>
      </c>
      <c r="FS29" s="1" t="e">
        <f>AND(#REF!,"AAAAAH3//q4=")</f>
        <v>#REF!</v>
      </c>
      <c r="FT29" s="1" t="e">
        <f>AND(#REF!,"AAAAAH3//q8=")</f>
        <v>#REF!</v>
      </c>
      <c r="FU29" s="1" t="e">
        <f>AND(#REF!,"AAAAAH3//rA=")</f>
        <v>#REF!</v>
      </c>
      <c r="FV29" s="1" t="e">
        <f>AND(#REF!,"AAAAAH3//rE=")</f>
        <v>#REF!</v>
      </c>
      <c r="FW29" s="1" t="e">
        <f>AND(#REF!,"AAAAAH3//rI=")</f>
        <v>#REF!</v>
      </c>
      <c r="FX29" s="1" t="e">
        <f>AND(#REF!,"AAAAAH3//rM=")</f>
        <v>#REF!</v>
      </c>
      <c r="FY29" s="1" t="e">
        <f>AND(#REF!,"AAAAAH3//rQ=")</f>
        <v>#REF!</v>
      </c>
      <c r="FZ29" s="1" t="e">
        <f>AND(#REF!,"AAAAAH3//rU=")</f>
        <v>#REF!</v>
      </c>
      <c r="GA29" s="1" t="e">
        <f>AND(#REF!,"AAAAAH3//rY=")</f>
        <v>#REF!</v>
      </c>
      <c r="GB29" s="1" t="e">
        <f>AND(#REF!,"AAAAAH3//rc=")</f>
        <v>#REF!</v>
      </c>
      <c r="GC29" s="1" t="e">
        <f>AND(#REF!,"AAAAAH3//rg=")</f>
        <v>#REF!</v>
      </c>
      <c r="GD29" s="1" t="e">
        <f>AND(#REF!,"AAAAAH3//rk=")</f>
        <v>#REF!</v>
      </c>
      <c r="GE29" s="1" t="e">
        <f>AND(#REF!,"AAAAAH3//ro=")</f>
        <v>#REF!</v>
      </c>
      <c r="GF29" s="1" t="e">
        <f>AND(#REF!,"AAAAAH3//rs=")</f>
        <v>#REF!</v>
      </c>
      <c r="GG29" s="1" t="e">
        <f>AND(#REF!,"AAAAAH3//rw=")</f>
        <v>#REF!</v>
      </c>
      <c r="GH29" s="1" t="e">
        <f>AND(#REF!,"AAAAAH3//r0=")</f>
        <v>#REF!</v>
      </c>
      <c r="GI29" s="1" t="e">
        <f>AND(#REF!,"AAAAAH3//r4=")</f>
        <v>#REF!</v>
      </c>
      <c r="GJ29" s="1" t="e">
        <f>AND(#REF!,"AAAAAH3//r8=")</f>
        <v>#REF!</v>
      </c>
      <c r="GK29" s="1" t="e">
        <f>AND(#REF!,"AAAAAH3//sA=")</f>
        <v>#REF!</v>
      </c>
      <c r="GL29" s="1" t="e">
        <f>AND(#REF!,"AAAAAH3//sE=")</f>
        <v>#REF!</v>
      </c>
      <c r="GM29" s="1" t="e">
        <f>AND(#REF!,"AAAAAH3//sI=")</f>
        <v>#REF!</v>
      </c>
      <c r="GN29" s="1" t="e">
        <f>AND(#REF!,"AAAAAH3//sM=")</f>
        <v>#REF!</v>
      </c>
      <c r="GO29" s="1" t="e">
        <f>AND(#REF!,"AAAAAH3//sQ=")</f>
        <v>#REF!</v>
      </c>
      <c r="GP29" s="1" t="e">
        <f>AND(#REF!,"AAAAAH3//sU=")</f>
        <v>#REF!</v>
      </c>
      <c r="GQ29" s="1" t="e">
        <f>AND(#REF!,"AAAAAH3//sY=")</f>
        <v>#REF!</v>
      </c>
      <c r="GR29" s="1" t="e">
        <f>IF(#REF!,"AAAAAH3//sc=",0)</f>
        <v>#REF!</v>
      </c>
      <c r="GS29" s="1" t="e">
        <f>AND(#REF!,"AAAAAH3//sg=")</f>
        <v>#REF!</v>
      </c>
      <c r="GT29" s="1" t="e">
        <f>AND(#REF!,"AAAAAH3//sk=")</f>
        <v>#REF!</v>
      </c>
      <c r="GU29" s="1" t="e">
        <f>AND(#REF!,"AAAAAH3//so=")</f>
        <v>#REF!</v>
      </c>
      <c r="GV29" s="1" t="e">
        <f>AND(#REF!,"AAAAAH3//ss=")</f>
        <v>#REF!</v>
      </c>
      <c r="GW29" s="1" t="e">
        <f>AND(#REF!,"AAAAAH3//sw=")</f>
        <v>#REF!</v>
      </c>
      <c r="GX29" s="1" t="e">
        <f>AND(#REF!,"AAAAAH3//s0=")</f>
        <v>#REF!</v>
      </c>
      <c r="GY29" s="1" t="e">
        <f>AND(#REF!,"AAAAAH3//s4=")</f>
        <v>#REF!</v>
      </c>
      <c r="GZ29" s="1" t="e">
        <f>AND(#REF!,"AAAAAH3//s8=")</f>
        <v>#REF!</v>
      </c>
      <c r="HA29" s="1" t="e">
        <f>AND(#REF!,"AAAAAH3//tA=")</f>
        <v>#REF!</v>
      </c>
      <c r="HB29" s="1" t="e">
        <f>AND(#REF!,"AAAAAH3//tE=")</f>
        <v>#REF!</v>
      </c>
      <c r="HC29" s="1" t="e">
        <f>AND(#REF!,"AAAAAH3//tI=")</f>
        <v>#REF!</v>
      </c>
      <c r="HD29" s="1" t="e">
        <f>AND(#REF!,"AAAAAH3//tM=")</f>
        <v>#REF!</v>
      </c>
      <c r="HE29" s="1" t="e">
        <f>AND(#REF!,"AAAAAH3//tQ=")</f>
        <v>#REF!</v>
      </c>
      <c r="HF29" s="1" t="e">
        <f>AND(#REF!,"AAAAAH3//tU=")</f>
        <v>#REF!</v>
      </c>
      <c r="HG29" s="1" t="e">
        <f>AND(#REF!,"AAAAAH3//tY=")</f>
        <v>#REF!</v>
      </c>
      <c r="HH29" s="1" t="e">
        <f>AND(#REF!,"AAAAAH3//tc=")</f>
        <v>#REF!</v>
      </c>
      <c r="HI29" s="1" t="e">
        <f>AND(#REF!,"AAAAAH3//tg=")</f>
        <v>#REF!</v>
      </c>
      <c r="HJ29" s="1" t="e">
        <f>AND(#REF!,"AAAAAH3//tk=")</f>
        <v>#REF!</v>
      </c>
      <c r="HK29" s="1" t="e">
        <f>AND(#REF!,"AAAAAH3//to=")</f>
        <v>#REF!</v>
      </c>
      <c r="HL29" s="1" t="e">
        <f>AND(#REF!,"AAAAAH3//ts=")</f>
        <v>#REF!</v>
      </c>
      <c r="HM29" s="1" t="e">
        <f>AND(#REF!,"AAAAAH3//tw=")</f>
        <v>#REF!</v>
      </c>
      <c r="HN29" s="1" t="e">
        <f>AND(#REF!,"AAAAAH3//t0=")</f>
        <v>#REF!</v>
      </c>
      <c r="HO29" s="1" t="e">
        <f>AND(#REF!,"AAAAAH3//t4=")</f>
        <v>#REF!</v>
      </c>
      <c r="HP29" s="1" t="e">
        <f>AND(#REF!,"AAAAAH3//t8=")</f>
        <v>#REF!</v>
      </c>
      <c r="HQ29" s="1" t="e">
        <f>AND(#REF!,"AAAAAH3//uA=")</f>
        <v>#REF!</v>
      </c>
      <c r="HR29" s="1" t="e">
        <f>AND(#REF!,"AAAAAH3//uE=")</f>
        <v>#REF!</v>
      </c>
      <c r="HS29" s="1" t="e">
        <f>AND(#REF!,"AAAAAH3//uI=")</f>
        <v>#REF!</v>
      </c>
      <c r="HT29" s="1" t="e">
        <f>AND(#REF!,"AAAAAH3//uM=")</f>
        <v>#REF!</v>
      </c>
      <c r="HU29" s="1" t="e">
        <f>AND(#REF!,"AAAAAH3//uQ=")</f>
        <v>#REF!</v>
      </c>
      <c r="HV29" s="1" t="e">
        <f>AND(#REF!,"AAAAAH3//uU=")</f>
        <v>#REF!</v>
      </c>
      <c r="HW29" s="1" t="e">
        <f>AND(#REF!,"AAAAAH3//uY=")</f>
        <v>#REF!</v>
      </c>
      <c r="HX29" s="1" t="e">
        <f>AND(#REF!,"AAAAAH3//uc=")</f>
        <v>#REF!</v>
      </c>
      <c r="HY29" s="1" t="e">
        <f>AND(#REF!,"AAAAAH3//ug=")</f>
        <v>#REF!</v>
      </c>
      <c r="HZ29" s="1" t="e">
        <f>AND(#REF!,"AAAAAH3//uk=")</f>
        <v>#REF!</v>
      </c>
      <c r="IA29" s="1" t="e">
        <f>AND(#REF!,"AAAAAH3//uo=")</f>
        <v>#REF!</v>
      </c>
      <c r="IB29" s="1" t="e">
        <f>AND(#REF!,"AAAAAH3//us=")</f>
        <v>#REF!</v>
      </c>
      <c r="IC29" s="1" t="e">
        <f>AND(#REF!,"AAAAAH3//uw=")</f>
        <v>#REF!</v>
      </c>
      <c r="ID29" s="1" t="e">
        <f>AND(#REF!,"AAAAAH3//u0=")</f>
        <v>#REF!</v>
      </c>
      <c r="IE29" s="1" t="e">
        <f>AND(#REF!,"AAAAAH3//u4=")</f>
        <v>#REF!</v>
      </c>
      <c r="IF29" s="1" t="e">
        <f>AND(#REF!,"AAAAAH3//u8=")</f>
        <v>#REF!</v>
      </c>
      <c r="IG29" s="1" t="e">
        <f>AND(#REF!,"AAAAAH3//vA=")</f>
        <v>#REF!</v>
      </c>
      <c r="IH29" s="1" t="e">
        <f>AND(#REF!,"AAAAAH3//vE=")</f>
        <v>#REF!</v>
      </c>
      <c r="II29" s="1" t="e">
        <f>AND(#REF!,"AAAAAH3//vI=")</f>
        <v>#REF!</v>
      </c>
      <c r="IJ29" s="1" t="e">
        <f>AND(#REF!,"AAAAAH3//vM=")</f>
        <v>#REF!</v>
      </c>
      <c r="IK29" s="1" t="e">
        <f>AND(#REF!,"AAAAAH3//vQ=")</f>
        <v>#REF!</v>
      </c>
      <c r="IL29" s="1" t="e">
        <f>AND(#REF!,"AAAAAH3//vU=")</f>
        <v>#REF!</v>
      </c>
      <c r="IM29" s="1" t="e">
        <f>AND(#REF!,"AAAAAH3//vY=")</f>
        <v>#REF!</v>
      </c>
      <c r="IN29" s="1" t="e">
        <f>AND(#REF!,"AAAAAH3//vc=")</f>
        <v>#REF!</v>
      </c>
      <c r="IO29" s="1" t="e">
        <f>AND(#REF!,"AAAAAH3//vg=")</f>
        <v>#REF!</v>
      </c>
      <c r="IP29" s="1" t="e">
        <f>AND(#REF!,"AAAAAH3//vk=")</f>
        <v>#REF!</v>
      </c>
      <c r="IQ29" s="1" t="e">
        <f>AND(#REF!,"AAAAAH3//vo=")</f>
        <v>#REF!</v>
      </c>
      <c r="IR29" s="1" t="e">
        <f>AND(#REF!,"AAAAAH3//vs=")</f>
        <v>#REF!</v>
      </c>
      <c r="IS29" s="1" t="e">
        <f>AND(#REF!,"AAAAAH3//vw=")</f>
        <v>#REF!</v>
      </c>
      <c r="IT29" s="1" t="e">
        <f>AND(#REF!,"AAAAAH3//v0=")</f>
        <v>#REF!</v>
      </c>
      <c r="IU29" s="1" t="e">
        <f>AND(#REF!,"AAAAAH3//v4=")</f>
        <v>#REF!</v>
      </c>
      <c r="IV29" s="1" t="e">
        <f>AND(#REF!,"AAAAAH3//v8=")</f>
        <v>#REF!</v>
      </c>
    </row>
    <row r="30" spans="1:256" ht="15" customHeight="1" x14ac:dyDescent="0.2">
      <c r="A30" s="1" t="e">
        <f>AND(#REF!,"AAAAAGb/1QA=")</f>
        <v>#REF!</v>
      </c>
      <c r="B30" s="1" t="e">
        <f>AND(#REF!,"AAAAAGb/1QE=")</f>
        <v>#REF!</v>
      </c>
      <c r="C30" s="1" t="e">
        <f>AND(#REF!,"AAAAAGb/1QI=")</f>
        <v>#REF!</v>
      </c>
      <c r="D30" s="1" t="e">
        <f>AND(#REF!,"AAAAAGb/1QM=")</f>
        <v>#REF!</v>
      </c>
      <c r="E30" s="1" t="e">
        <f>AND(#REF!,"AAAAAGb/1QQ=")</f>
        <v>#REF!</v>
      </c>
      <c r="F30" s="1" t="e">
        <f>AND(#REF!,"AAAAAGb/1QU=")</f>
        <v>#REF!</v>
      </c>
      <c r="G30" s="1" t="e">
        <f>AND(#REF!,"AAAAAGb/1QY=")</f>
        <v>#REF!</v>
      </c>
      <c r="H30" s="1" t="e">
        <f>AND(#REF!,"AAAAAGb/1Qc=")</f>
        <v>#REF!</v>
      </c>
      <c r="I30" s="1" t="e">
        <f>AND(#REF!,"AAAAAGb/1Qg=")</f>
        <v>#REF!</v>
      </c>
      <c r="J30" s="1" t="e">
        <f>AND(#REF!,"AAAAAGb/1Qk=")</f>
        <v>#REF!</v>
      </c>
      <c r="K30" s="1" t="e">
        <f>AND(#REF!,"AAAAAGb/1Qo=")</f>
        <v>#REF!</v>
      </c>
      <c r="L30" s="1" t="e">
        <f>AND(#REF!,"AAAAAGb/1Qs=")</f>
        <v>#REF!</v>
      </c>
      <c r="M30" s="1" t="e">
        <f>AND(#REF!,"AAAAAGb/1Qw=")</f>
        <v>#REF!</v>
      </c>
      <c r="N30" s="1" t="e">
        <f>AND(#REF!,"AAAAAGb/1Q0=")</f>
        <v>#REF!</v>
      </c>
      <c r="O30" s="1" t="e">
        <f>AND(#REF!,"AAAAAGb/1Q4=")</f>
        <v>#REF!</v>
      </c>
      <c r="P30" s="1" t="e">
        <f>AND(#REF!,"AAAAAGb/1Q8=")</f>
        <v>#REF!</v>
      </c>
      <c r="Q30" s="1" t="e">
        <f>AND(#REF!,"AAAAAGb/1RA=")</f>
        <v>#REF!</v>
      </c>
      <c r="R30" s="1" t="e">
        <f>AND(#REF!,"AAAAAGb/1RE=")</f>
        <v>#REF!</v>
      </c>
      <c r="S30" s="1" t="e">
        <f>AND(#REF!,"AAAAAGb/1RI=")</f>
        <v>#REF!</v>
      </c>
      <c r="T30" s="1" t="e">
        <f>AND(#REF!,"AAAAAGb/1RM=")</f>
        <v>#REF!</v>
      </c>
      <c r="U30" s="1" t="e">
        <f>AND(#REF!,"AAAAAGb/1RQ=")</f>
        <v>#REF!</v>
      </c>
      <c r="V30" s="1" t="e">
        <f>AND(#REF!,"AAAAAGb/1RU=")</f>
        <v>#REF!</v>
      </c>
      <c r="W30" s="1" t="e">
        <f>AND(#REF!,"AAAAAGb/1RY=")</f>
        <v>#REF!</v>
      </c>
      <c r="X30" s="1" t="e">
        <f>AND(#REF!,"AAAAAGb/1Rc=")</f>
        <v>#REF!</v>
      </c>
      <c r="Y30" s="1" t="e">
        <f>AND(#REF!,"AAAAAGb/1Rg=")</f>
        <v>#REF!</v>
      </c>
      <c r="Z30" s="1" t="e">
        <f>AND(#REF!,"AAAAAGb/1Rk=")</f>
        <v>#REF!</v>
      </c>
      <c r="AA30" s="1" t="e">
        <f>AND(#REF!,"AAAAAGb/1Ro=")</f>
        <v>#REF!</v>
      </c>
      <c r="AB30" s="1" t="e">
        <f>AND(#REF!,"AAAAAGb/1Rs=")</f>
        <v>#REF!</v>
      </c>
      <c r="AC30" s="1" t="e">
        <f>AND(#REF!,"AAAAAGb/1Rw=")</f>
        <v>#REF!</v>
      </c>
      <c r="AD30" s="1" t="e">
        <f>AND(#REF!,"AAAAAGb/1R0=")</f>
        <v>#REF!</v>
      </c>
      <c r="AE30" s="1" t="e">
        <f>AND(#REF!,"AAAAAGb/1R4=")</f>
        <v>#REF!</v>
      </c>
      <c r="AF30" s="1" t="e">
        <f>AND(#REF!,"AAAAAGb/1R8=")</f>
        <v>#REF!</v>
      </c>
      <c r="AG30" s="1" t="e">
        <f>AND(#REF!,"AAAAAGb/1SA=")</f>
        <v>#REF!</v>
      </c>
      <c r="AH30" s="1" t="e">
        <f>AND(#REF!,"AAAAAGb/1SE=")</f>
        <v>#REF!</v>
      </c>
      <c r="AI30" s="1" t="e">
        <f>AND(#REF!,"AAAAAGb/1SI=")</f>
        <v>#REF!</v>
      </c>
      <c r="AJ30" s="1" t="e">
        <f>AND(#REF!,"AAAAAGb/1SM=")</f>
        <v>#REF!</v>
      </c>
      <c r="AK30" s="1" t="e">
        <f>AND(#REF!,"AAAAAGb/1SQ=")</f>
        <v>#REF!</v>
      </c>
      <c r="AL30" s="1" t="e">
        <f>AND(#REF!,"AAAAAGb/1SU=")</f>
        <v>#REF!</v>
      </c>
      <c r="AM30" s="1" t="e">
        <f>AND(#REF!,"AAAAAGb/1SY=")</f>
        <v>#REF!</v>
      </c>
      <c r="AN30" s="1" t="e">
        <f>AND(#REF!,"AAAAAGb/1Sc=")</f>
        <v>#REF!</v>
      </c>
      <c r="AO30" s="1" t="e">
        <f>AND(#REF!,"AAAAAGb/1Sg=")</f>
        <v>#REF!</v>
      </c>
      <c r="AP30" s="1" t="e">
        <f>AND(#REF!,"AAAAAGb/1Sk=")</f>
        <v>#REF!</v>
      </c>
      <c r="AQ30" s="1" t="e">
        <f>AND(#REF!,"AAAAAGb/1So=")</f>
        <v>#REF!</v>
      </c>
      <c r="AR30" s="1" t="e">
        <f>AND(#REF!,"AAAAAGb/1Ss=")</f>
        <v>#REF!</v>
      </c>
      <c r="AS30" s="1" t="e">
        <f>AND(#REF!,"AAAAAGb/1Sw=")</f>
        <v>#REF!</v>
      </c>
      <c r="AT30" s="1" t="e">
        <f>AND(#REF!,"AAAAAGb/1S0=")</f>
        <v>#REF!</v>
      </c>
      <c r="AU30" s="1" t="e">
        <f>IF(#REF!,"AAAAAGb/1S4=",0)</f>
        <v>#REF!</v>
      </c>
      <c r="AV30" s="1" t="e">
        <f>AND(#REF!,"AAAAAGb/1S8=")</f>
        <v>#REF!</v>
      </c>
      <c r="AW30" s="1" t="e">
        <f>AND(#REF!,"AAAAAGb/1TA=")</f>
        <v>#REF!</v>
      </c>
      <c r="AX30" s="1" t="e">
        <f>AND(#REF!,"AAAAAGb/1TE=")</f>
        <v>#REF!</v>
      </c>
      <c r="AY30" s="1" t="e">
        <f>AND(#REF!,"AAAAAGb/1TI=")</f>
        <v>#REF!</v>
      </c>
      <c r="AZ30" s="1" t="e">
        <f>AND(#REF!,"AAAAAGb/1TM=")</f>
        <v>#REF!</v>
      </c>
      <c r="BA30" s="1" t="e">
        <f>AND(#REF!,"AAAAAGb/1TQ=")</f>
        <v>#REF!</v>
      </c>
      <c r="BB30" s="1" t="e">
        <f>AND(#REF!,"AAAAAGb/1TU=")</f>
        <v>#REF!</v>
      </c>
      <c r="BC30" s="1" t="e">
        <f>AND(#REF!,"AAAAAGb/1TY=")</f>
        <v>#REF!</v>
      </c>
      <c r="BD30" s="1" t="e">
        <f>AND(#REF!,"AAAAAGb/1Tc=")</f>
        <v>#REF!</v>
      </c>
      <c r="BE30" s="1" t="e">
        <f>AND(#REF!,"AAAAAGb/1Tg=")</f>
        <v>#REF!</v>
      </c>
      <c r="BF30" s="1" t="e">
        <f>AND(#REF!,"AAAAAGb/1Tk=")</f>
        <v>#REF!</v>
      </c>
      <c r="BG30" s="1" t="e">
        <f>AND(#REF!,"AAAAAGb/1To=")</f>
        <v>#REF!</v>
      </c>
      <c r="BH30" s="1" t="e">
        <f>AND(#REF!,"AAAAAGb/1Ts=")</f>
        <v>#REF!</v>
      </c>
      <c r="BI30" s="1" t="e">
        <f>AND(#REF!,"AAAAAGb/1Tw=")</f>
        <v>#REF!</v>
      </c>
      <c r="BJ30" s="1" t="e">
        <f>AND(#REF!,"AAAAAGb/1T0=")</f>
        <v>#REF!</v>
      </c>
      <c r="BK30" s="1" t="e">
        <f>AND(#REF!,"AAAAAGb/1T4=")</f>
        <v>#REF!</v>
      </c>
      <c r="BL30" s="1" t="e">
        <f>AND(#REF!,"AAAAAGb/1T8=")</f>
        <v>#REF!</v>
      </c>
      <c r="BM30" s="1" t="e">
        <f>AND(#REF!,"AAAAAGb/1UA=")</f>
        <v>#REF!</v>
      </c>
      <c r="BN30" s="1" t="e">
        <f>AND(#REF!,"AAAAAGb/1UE=")</f>
        <v>#REF!</v>
      </c>
      <c r="BO30" s="1" t="e">
        <f>AND(#REF!,"AAAAAGb/1UI=")</f>
        <v>#REF!</v>
      </c>
      <c r="BP30" s="1" t="e">
        <f>AND(#REF!,"AAAAAGb/1UM=")</f>
        <v>#REF!</v>
      </c>
      <c r="BQ30" s="1" t="e">
        <f>AND(#REF!,"AAAAAGb/1UQ=")</f>
        <v>#REF!</v>
      </c>
      <c r="BR30" s="1" t="e">
        <f>AND(#REF!,"AAAAAGb/1UU=")</f>
        <v>#REF!</v>
      </c>
      <c r="BS30" s="1" t="e">
        <f>AND(#REF!,"AAAAAGb/1UY=")</f>
        <v>#REF!</v>
      </c>
      <c r="BT30" s="1" t="e">
        <f>AND(#REF!,"AAAAAGb/1Uc=")</f>
        <v>#REF!</v>
      </c>
      <c r="BU30" s="1" t="e">
        <f>AND(#REF!,"AAAAAGb/1Ug=")</f>
        <v>#REF!</v>
      </c>
      <c r="BV30" s="1" t="e">
        <f>AND(#REF!,"AAAAAGb/1Uk=")</f>
        <v>#REF!</v>
      </c>
      <c r="BW30" s="1" t="e">
        <f>AND(#REF!,"AAAAAGb/1Uo=")</f>
        <v>#REF!</v>
      </c>
      <c r="BX30" s="1" t="e">
        <f>AND(#REF!,"AAAAAGb/1Us=")</f>
        <v>#REF!</v>
      </c>
      <c r="BY30" s="1" t="e">
        <f>AND(#REF!,"AAAAAGb/1Uw=")</f>
        <v>#REF!</v>
      </c>
      <c r="BZ30" s="1" t="e">
        <f>AND(#REF!,"AAAAAGb/1U0=")</f>
        <v>#REF!</v>
      </c>
      <c r="CA30" s="1" t="e">
        <f>AND(#REF!,"AAAAAGb/1U4=")</f>
        <v>#REF!</v>
      </c>
      <c r="CB30" s="1" t="e">
        <f>AND(#REF!,"AAAAAGb/1U8=")</f>
        <v>#REF!</v>
      </c>
      <c r="CC30" s="1" t="e">
        <f>AND(#REF!,"AAAAAGb/1VA=")</f>
        <v>#REF!</v>
      </c>
      <c r="CD30" s="1" t="e">
        <f>AND(#REF!,"AAAAAGb/1VE=")</f>
        <v>#REF!</v>
      </c>
      <c r="CE30" s="1" t="e">
        <f>AND(#REF!,"AAAAAGb/1VI=")</f>
        <v>#REF!</v>
      </c>
      <c r="CF30" s="1" t="e">
        <f>AND(#REF!,"AAAAAGb/1VM=")</f>
        <v>#REF!</v>
      </c>
      <c r="CG30" s="1" t="e">
        <f>AND(#REF!,"AAAAAGb/1VQ=")</f>
        <v>#REF!</v>
      </c>
      <c r="CH30" s="1" t="e">
        <f>AND(#REF!,"AAAAAGb/1VU=")</f>
        <v>#REF!</v>
      </c>
      <c r="CI30" s="1" t="e">
        <f>AND(#REF!,"AAAAAGb/1VY=")</f>
        <v>#REF!</v>
      </c>
      <c r="CJ30" s="1" t="e">
        <f>AND(#REF!,"AAAAAGb/1Vc=")</f>
        <v>#REF!</v>
      </c>
      <c r="CK30" s="1" t="e">
        <f>AND(#REF!,"AAAAAGb/1Vg=")</f>
        <v>#REF!</v>
      </c>
      <c r="CL30" s="1" t="e">
        <f>AND(#REF!,"AAAAAGb/1Vk=")</f>
        <v>#REF!</v>
      </c>
      <c r="CM30" s="1" t="e">
        <f>AND(#REF!,"AAAAAGb/1Vo=")</f>
        <v>#REF!</v>
      </c>
      <c r="CN30" s="1" t="e">
        <f>AND(#REF!,"AAAAAGb/1Vs=")</f>
        <v>#REF!</v>
      </c>
      <c r="CO30" s="1" t="e">
        <f>AND(#REF!,"AAAAAGb/1Vw=")</f>
        <v>#REF!</v>
      </c>
      <c r="CP30" s="1" t="e">
        <f>AND(#REF!,"AAAAAGb/1V0=")</f>
        <v>#REF!</v>
      </c>
      <c r="CQ30" s="1" t="e">
        <f>AND(#REF!,"AAAAAGb/1V4=")</f>
        <v>#REF!</v>
      </c>
      <c r="CR30" s="1" t="e">
        <f>AND(#REF!,"AAAAAGb/1V8=")</f>
        <v>#REF!</v>
      </c>
      <c r="CS30" s="1" t="e">
        <f>AND(#REF!,"AAAAAGb/1WA=")</f>
        <v>#REF!</v>
      </c>
      <c r="CT30" s="1" t="e">
        <f>AND(#REF!,"AAAAAGb/1WE=")</f>
        <v>#REF!</v>
      </c>
      <c r="CU30" s="1" t="e">
        <f>AND(#REF!,"AAAAAGb/1WI=")</f>
        <v>#REF!</v>
      </c>
      <c r="CV30" s="1" t="e">
        <f>AND(#REF!,"AAAAAGb/1WM=")</f>
        <v>#REF!</v>
      </c>
      <c r="CW30" s="1" t="e">
        <f>AND(#REF!,"AAAAAGb/1WQ=")</f>
        <v>#REF!</v>
      </c>
      <c r="CX30" s="1" t="e">
        <f>AND(#REF!,"AAAAAGb/1WU=")</f>
        <v>#REF!</v>
      </c>
      <c r="CY30" s="1" t="e">
        <f>AND(#REF!,"AAAAAGb/1WY=")</f>
        <v>#REF!</v>
      </c>
      <c r="CZ30" s="1" t="e">
        <f>AND(#REF!,"AAAAAGb/1Wc=")</f>
        <v>#REF!</v>
      </c>
      <c r="DA30" s="1" t="e">
        <f>AND(#REF!,"AAAAAGb/1Wg=")</f>
        <v>#REF!</v>
      </c>
      <c r="DB30" s="1" t="e">
        <f>AND(#REF!,"AAAAAGb/1Wk=")</f>
        <v>#REF!</v>
      </c>
      <c r="DC30" s="1" t="e">
        <f>AND(#REF!,"AAAAAGb/1Wo=")</f>
        <v>#REF!</v>
      </c>
      <c r="DD30" s="1" t="e">
        <f>AND(#REF!,"AAAAAGb/1Ws=")</f>
        <v>#REF!</v>
      </c>
      <c r="DE30" s="1" t="e">
        <f>AND(#REF!,"AAAAAGb/1Ww=")</f>
        <v>#REF!</v>
      </c>
      <c r="DF30" s="1" t="e">
        <f>AND(#REF!,"AAAAAGb/1W0=")</f>
        <v>#REF!</v>
      </c>
      <c r="DG30" s="1" t="e">
        <f>AND(#REF!,"AAAAAGb/1W4=")</f>
        <v>#REF!</v>
      </c>
      <c r="DH30" s="1" t="e">
        <f>AND(#REF!,"AAAAAGb/1W8=")</f>
        <v>#REF!</v>
      </c>
      <c r="DI30" s="1" t="e">
        <f>AND(#REF!,"AAAAAGb/1XA=")</f>
        <v>#REF!</v>
      </c>
      <c r="DJ30" s="1" t="e">
        <f>AND(#REF!,"AAAAAGb/1XE=")</f>
        <v>#REF!</v>
      </c>
      <c r="DK30" s="1" t="e">
        <f>AND(#REF!,"AAAAAGb/1XI=")</f>
        <v>#REF!</v>
      </c>
      <c r="DL30" s="1" t="e">
        <f>AND(#REF!,"AAAAAGb/1XM=")</f>
        <v>#REF!</v>
      </c>
      <c r="DM30" s="1" t="e">
        <f>AND(#REF!,"AAAAAGb/1XQ=")</f>
        <v>#REF!</v>
      </c>
      <c r="DN30" s="1" t="e">
        <f>AND(#REF!,"AAAAAGb/1XU=")</f>
        <v>#REF!</v>
      </c>
      <c r="DO30" s="1" t="e">
        <f>AND(#REF!,"AAAAAGb/1XY=")</f>
        <v>#REF!</v>
      </c>
      <c r="DP30" s="1" t="e">
        <f>AND(#REF!,"AAAAAGb/1Xc=")</f>
        <v>#REF!</v>
      </c>
      <c r="DQ30" s="1" t="e">
        <f>AND(#REF!,"AAAAAGb/1Xg=")</f>
        <v>#REF!</v>
      </c>
      <c r="DR30" s="1" t="e">
        <f>AND(#REF!,"AAAAAGb/1Xk=")</f>
        <v>#REF!</v>
      </c>
      <c r="DS30" s="1" t="e">
        <f>AND(#REF!,"AAAAAGb/1Xo=")</f>
        <v>#REF!</v>
      </c>
      <c r="DT30" s="1" t="e">
        <f>AND(#REF!,"AAAAAGb/1Xs=")</f>
        <v>#REF!</v>
      </c>
      <c r="DU30" s="1" t="e">
        <f>AND(#REF!,"AAAAAGb/1Xw=")</f>
        <v>#REF!</v>
      </c>
      <c r="DV30" s="1" t="e">
        <f>AND(#REF!,"AAAAAGb/1X0=")</f>
        <v>#REF!</v>
      </c>
      <c r="DW30" s="1" t="e">
        <f>AND(#REF!,"AAAAAGb/1X4=")</f>
        <v>#REF!</v>
      </c>
      <c r="DX30" s="1" t="e">
        <f>AND(#REF!,"AAAAAGb/1X8=")</f>
        <v>#REF!</v>
      </c>
      <c r="DY30" s="1" t="e">
        <f>AND(#REF!,"AAAAAGb/1YA=")</f>
        <v>#REF!</v>
      </c>
      <c r="DZ30" s="1" t="e">
        <f>AND(#REF!,"AAAAAGb/1YE=")</f>
        <v>#REF!</v>
      </c>
      <c r="EA30" s="1" t="e">
        <f>AND(#REF!,"AAAAAGb/1YI=")</f>
        <v>#REF!</v>
      </c>
      <c r="EB30" s="1" t="e">
        <f>AND(#REF!,"AAAAAGb/1YM=")</f>
        <v>#REF!</v>
      </c>
      <c r="EC30" s="1" t="e">
        <f>AND(#REF!,"AAAAAGb/1YQ=")</f>
        <v>#REF!</v>
      </c>
      <c r="ED30" s="1" t="e">
        <f>AND(#REF!,"AAAAAGb/1YU=")</f>
        <v>#REF!</v>
      </c>
      <c r="EE30" s="1" t="e">
        <f>AND(#REF!,"AAAAAGb/1YY=")</f>
        <v>#REF!</v>
      </c>
      <c r="EF30" s="1" t="e">
        <f>AND(#REF!,"AAAAAGb/1Yc=")</f>
        <v>#REF!</v>
      </c>
      <c r="EG30" s="1" t="e">
        <f>AND(#REF!,"AAAAAGb/1Yg=")</f>
        <v>#REF!</v>
      </c>
      <c r="EH30" s="1" t="e">
        <f>AND(#REF!,"AAAAAGb/1Yk=")</f>
        <v>#REF!</v>
      </c>
      <c r="EI30" s="1" t="e">
        <f>AND(#REF!,"AAAAAGb/1Yo=")</f>
        <v>#REF!</v>
      </c>
      <c r="EJ30" s="1" t="e">
        <f>AND(#REF!,"AAAAAGb/1Ys=")</f>
        <v>#REF!</v>
      </c>
      <c r="EK30" s="1" t="e">
        <f>AND(#REF!,"AAAAAGb/1Yw=")</f>
        <v>#REF!</v>
      </c>
      <c r="EL30" s="1" t="e">
        <f>AND(#REF!,"AAAAAGb/1Y0=")</f>
        <v>#REF!</v>
      </c>
      <c r="EM30" s="1" t="e">
        <f>AND(#REF!,"AAAAAGb/1Y4=")</f>
        <v>#REF!</v>
      </c>
      <c r="EN30" s="1" t="e">
        <f>AND(#REF!,"AAAAAGb/1Y8=")</f>
        <v>#REF!</v>
      </c>
      <c r="EO30" s="1" t="e">
        <f>AND(#REF!,"AAAAAGb/1ZA=")</f>
        <v>#REF!</v>
      </c>
      <c r="EP30" s="1" t="e">
        <f>AND(#REF!,"AAAAAGb/1ZE=")</f>
        <v>#REF!</v>
      </c>
      <c r="EQ30" s="1" t="e">
        <f>AND(#REF!,"AAAAAGb/1ZI=")</f>
        <v>#REF!</v>
      </c>
      <c r="ER30" s="1" t="e">
        <f>AND(#REF!,"AAAAAGb/1ZM=")</f>
        <v>#REF!</v>
      </c>
      <c r="ES30" s="1" t="e">
        <f>AND(#REF!,"AAAAAGb/1ZQ=")</f>
        <v>#REF!</v>
      </c>
      <c r="ET30" s="1" t="e">
        <f>IF(#REF!,"AAAAAGb/1ZU=",0)</f>
        <v>#REF!</v>
      </c>
      <c r="EU30" s="1" t="e">
        <f>AND(#REF!,"AAAAAGb/1ZY=")</f>
        <v>#REF!</v>
      </c>
      <c r="EV30" s="1" t="e">
        <f>AND(#REF!,"AAAAAGb/1Zc=")</f>
        <v>#REF!</v>
      </c>
      <c r="EW30" s="1" t="e">
        <f>AND(#REF!,"AAAAAGb/1Zg=")</f>
        <v>#REF!</v>
      </c>
      <c r="EX30" s="1" t="e">
        <f>AND(#REF!,"AAAAAGb/1Zk=")</f>
        <v>#REF!</v>
      </c>
      <c r="EY30" s="1" t="e">
        <f>AND(#REF!,"AAAAAGb/1Zo=")</f>
        <v>#REF!</v>
      </c>
      <c r="EZ30" s="1" t="e">
        <f>AND(#REF!,"AAAAAGb/1Zs=")</f>
        <v>#REF!</v>
      </c>
      <c r="FA30" s="1" t="e">
        <f>AND(#REF!,"AAAAAGb/1Zw=")</f>
        <v>#REF!</v>
      </c>
      <c r="FB30" s="1" t="e">
        <f>AND(#REF!,"AAAAAGb/1Z0=")</f>
        <v>#REF!</v>
      </c>
      <c r="FC30" s="1" t="e">
        <f>AND(#REF!,"AAAAAGb/1Z4=")</f>
        <v>#REF!</v>
      </c>
      <c r="FD30" s="1" t="e">
        <f>AND(#REF!,"AAAAAGb/1Z8=")</f>
        <v>#REF!</v>
      </c>
      <c r="FE30" s="1" t="e">
        <f>AND(#REF!,"AAAAAGb/1aA=")</f>
        <v>#REF!</v>
      </c>
      <c r="FF30" s="1" t="e">
        <f>AND(#REF!,"AAAAAGb/1aE=")</f>
        <v>#REF!</v>
      </c>
      <c r="FG30" s="1" t="e">
        <f>AND(#REF!,"AAAAAGb/1aI=")</f>
        <v>#REF!</v>
      </c>
      <c r="FH30" s="1" t="e">
        <f>AND(#REF!,"AAAAAGb/1aM=")</f>
        <v>#REF!</v>
      </c>
      <c r="FI30" s="1" t="e">
        <f>AND(#REF!,"AAAAAGb/1aQ=")</f>
        <v>#REF!</v>
      </c>
      <c r="FJ30" s="1" t="e">
        <f>AND(#REF!,"AAAAAGb/1aU=")</f>
        <v>#REF!</v>
      </c>
      <c r="FK30" s="1" t="e">
        <f>AND(#REF!,"AAAAAGb/1aY=")</f>
        <v>#REF!</v>
      </c>
      <c r="FL30" s="1" t="e">
        <f>AND(#REF!,"AAAAAGb/1ac=")</f>
        <v>#REF!</v>
      </c>
      <c r="FM30" s="1" t="e">
        <f>AND(#REF!,"AAAAAGb/1ag=")</f>
        <v>#REF!</v>
      </c>
      <c r="FN30" s="1" t="e">
        <f>AND(#REF!,"AAAAAGb/1ak=")</f>
        <v>#REF!</v>
      </c>
      <c r="FO30" s="1" t="e">
        <f>AND(#REF!,"AAAAAGb/1ao=")</f>
        <v>#REF!</v>
      </c>
      <c r="FP30" s="1" t="e">
        <f>AND(#REF!,"AAAAAGb/1as=")</f>
        <v>#REF!</v>
      </c>
      <c r="FQ30" s="1" t="e">
        <f>AND(#REF!,"AAAAAGb/1aw=")</f>
        <v>#REF!</v>
      </c>
      <c r="FR30" s="1" t="e">
        <f>AND(#REF!,"AAAAAGb/1a0=")</f>
        <v>#REF!</v>
      </c>
      <c r="FS30" s="1" t="e">
        <f>AND(#REF!,"AAAAAGb/1a4=")</f>
        <v>#REF!</v>
      </c>
      <c r="FT30" s="1" t="e">
        <f>AND(#REF!,"AAAAAGb/1a8=")</f>
        <v>#REF!</v>
      </c>
      <c r="FU30" s="1" t="e">
        <f>AND(#REF!,"AAAAAGb/1bA=")</f>
        <v>#REF!</v>
      </c>
      <c r="FV30" s="1" t="e">
        <f>AND(#REF!,"AAAAAGb/1bE=")</f>
        <v>#REF!</v>
      </c>
      <c r="FW30" s="1" t="e">
        <f>AND(#REF!,"AAAAAGb/1bI=")</f>
        <v>#REF!</v>
      </c>
      <c r="FX30" s="1" t="e">
        <f>AND(#REF!,"AAAAAGb/1bM=")</f>
        <v>#REF!</v>
      </c>
      <c r="FY30" s="1" t="e">
        <f>AND(#REF!,"AAAAAGb/1bQ=")</f>
        <v>#REF!</v>
      </c>
      <c r="FZ30" s="1" t="e">
        <f>AND(#REF!,"AAAAAGb/1bU=")</f>
        <v>#REF!</v>
      </c>
      <c r="GA30" s="1" t="e">
        <f>AND(#REF!,"AAAAAGb/1bY=")</f>
        <v>#REF!</v>
      </c>
      <c r="GB30" s="1" t="e">
        <f>AND(#REF!,"AAAAAGb/1bc=")</f>
        <v>#REF!</v>
      </c>
      <c r="GC30" s="1" t="e">
        <f>AND(#REF!,"AAAAAGb/1bg=")</f>
        <v>#REF!</v>
      </c>
      <c r="GD30" s="1" t="e">
        <f>AND(#REF!,"AAAAAGb/1bk=")</f>
        <v>#REF!</v>
      </c>
      <c r="GE30" s="1" t="e">
        <f>AND(#REF!,"AAAAAGb/1bo=")</f>
        <v>#REF!</v>
      </c>
      <c r="GF30" s="1" t="e">
        <f>AND(#REF!,"AAAAAGb/1bs=")</f>
        <v>#REF!</v>
      </c>
      <c r="GG30" s="1" t="e">
        <f>AND(#REF!,"AAAAAGb/1bw=")</f>
        <v>#REF!</v>
      </c>
      <c r="GH30" s="1" t="e">
        <f>AND(#REF!,"AAAAAGb/1b0=")</f>
        <v>#REF!</v>
      </c>
      <c r="GI30" s="1" t="e">
        <f>AND(#REF!,"AAAAAGb/1b4=")</f>
        <v>#REF!</v>
      </c>
      <c r="GJ30" s="1" t="e">
        <f>AND(#REF!,"AAAAAGb/1b8=")</f>
        <v>#REF!</v>
      </c>
      <c r="GK30" s="1" t="e">
        <f>AND(#REF!,"AAAAAGb/1cA=")</f>
        <v>#REF!</v>
      </c>
      <c r="GL30" s="1" t="e">
        <f>AND(#REF!,"AAAAAGb/1cE=")</f>
        <v>#REF!</v>
      </c>
      <c r="GM30" s="1" t="e">
        <f>AND(#REF!,"AAAAAGb/1cI=")</f>
        <v>#REF!</v>
      </c>
      <c r="GN30" s="1" t="e">
        <f>AND(#REF!,"AAAAAGb/1cM=")</f>
        <v>#REF!</v>
      </c>
      <c r="GO30" s="1" t="e">
        <f>AND(#REF!,"AAAAAGb/1cQ=")</f>
        <v>#REF!</v>
      </c>
      <c r="GP30" s="1" t="e">
        <f>AND(#REF!,"AAAAAGb/1cU=")</f>
        <v>#REF!</v>
      </c>
      <c r="GQ30" s="1" t="e">
        <f>AND(#REF!,"AAAAAGb/1cY=")</f>
        <v>#REF!</v>
      </c>
      <c r="GR30" s="1" t="e">
        <f>AND(#REF!,"AAAAAGb/1cc=")</f>
        <v>#REF!</v>
      </c>
      <c r="GS30" s="1" t="e">
        <f>AND(#REF!,"AAAAAGb/1cg=")</f>
        <v>#REF!</v>
      </c>
      <c r="GT30" s="1" t="e">
        <f>AND(#REF!,"AAAAAGb/1ck=")</f>
        <v>#REF!</v>
      </c>
      <c r="GU30" s="1" t="e">
        <f>AND(#REF!,"AAAAAGb/1co=")</f>
        <v>#REF!</v>
      </c>
      <c r="GV30" s="1" t="e">
        <f>AND(#REF!,"AAAAAGb/1cs=")</f>
        <v>#REF!</v>
      </c>
      <c r="GW30" s="1" t="e">
        <f>AND(#REF!,"AAAAAGb/1cw=")</f>
        <v>#REF!</v>
      </c>
      <c r="GX30" s="1" t="e">
        <f>AND(#REF!,"AAAAAGb/1c0=")</f>
        <v>#REF!</v>
      </c>
      <c r="GY30" s="1" t="e">
        <f>AND(#REF!,"AAAAAGb/1c4=")</f>
        <v>#REF!</v>
      </c>
      <c r="GZ30" s="1" t="e">
        <f>AND(#REF!,"AAAAAGb/1c8=")</f>
        <v>#REF!</v>
      </c>
      <c r="HA30" s="1" t="e">
        <f>AND(#REF!,"AAAAAGb/1dA=")</f>
        <v>#REF!</v>
      </c>
      <c r="HB30" s="1" t="e">
        <f>AND(#REF!,"AAAAAGb/1dE=")</f>
        <v>#REF!</v>
      </c>
      <c r="HC30" s="1" t="e">
        <f>AND(#REF!,"AAAAAGb/1dI=")</f>
        <v>#REF!</v>
      </c>
      <c r="HD30" s="1" t="e">
        <f>AND(#REF!,"AAAAAGb/1dM=")</f>
        <v>#REF!</v>
      </c>
      <c r="HE30" s="1" t="e">
        <f>AND(#REF!,"AAAAAGb/1dQ=")</f>
        <v>#REF!</v>
      </c>
      <c r="HF30" s="1" t="e">
        <f>AND(#REF!,"AAAAAGb/1dU=")</f>
        <v>#REF!</v>
      </c>
      <c r="HG30" s="1" t="e">
        <f>AND(#REF!,"AAAAAGb/1dY=")</f>
        <v>#REF!</v>
      </c>
      <c r="HH30" s="1" t="e">
        <f>AND(#REF!,"AAAAAGb/1dc=")</f>
        <v>#REF!</v>
      </c>
      <c r="HI30" s="1" t="e">
        <f>AND(#REF!,"AAAAAGb/1dg=")</f>
        <v>#REF!</v>
      </c>
      <c r="HJ30" s="1" t="e">
        <f>AND(#REF!,"AAAAAGb/1dk=")</f>
        <v>#REF!</v>
      </c>
      <c r="HK30" s="1" t="e">
        <f>AND(#REF!,"AAAAAGb/1do=")</f>
        <v>#REF!</v>
      </c>
      <c r="HL30" s="1" t="e">
        <f>AND(#REF!,"AAAAAGb/1ds=")</f>
        <v>#REF!</v>
      </c>
      <c r="HM30" s="1" t="e">
        <f>AND(#REF!,"AAAAAGb/1dw=")</f>
        <v>#REF!</v>
      </c>
      <c r="HN30" s="1" t="e">
        <f>AND(#REF!,"AAAAAGb/1d0=")</f>
        <v>#REF!</v>
      </c>
      <c r="HO30" s="1" t="e">
        <f>AND(#REF!,"AAAAAGb/1d4=")</f>
        <v>#REF!</v>
      </c>
      <c r="HP30" s="1" t="e">
        <f>AND(#REF!,"AAAAAGb/1d8=")</f>
        <v>#REF!</v>
      </c>
      <c r="HQ30" s="1" t="e">
        <f>AND(#REF!,"AAAAAGb/1eA=")</f>
        <v>#REF!</v>
      </c>
      <c r="HR30" s="1" t="e">
        <f>AND(#REF!,"AAAAAGb/1eE=")</f>
        <v>#REF!</v>
      </c>
      <c r="HS30" s="1" t="e">
        <f>AND(#REF!,"AAAAAGb/1eI=")</f>
        <v>#REF!</v>
      </c>
      <c r="HT30" s="1" t="e">
        <f>AND(#REF!,"AAAAAGb/1eM=")</f>
        <v>#REF!</v>
      </c>
      <c r="HU30" s="1" t="e">
        <f>AND(#REF!,"AAAAAGb/1eQ=")</f>
        <v>#REF!</v>
      </c>
      <c r="HV30" s="1" t="e">
        <f>AND(#REF!,"AAAAAGb/1eU=")</f>
        <v>#REF!</v>
      </c>
      <c r="HW30" s="1" t="e">
        <f>AND(#REF!,"AAAAAGb/1eY=")</f>
        <v>#REF!</v>
      </c>
      <c r="HX30" s="1" t="e">
        <f>AND(#REF!,"AAAAAGb/1ec=")</f>
        <v>#REF!</v>
      </c>
      <c r="HY30" s="1" t="e">
        <f>AND(#REF!,"AAAAAGb/1eg=")</f>
        <v>#REF!</v>
      </c>
      <c r="HZ30" s="1" t="e">
        <f>AND(#REF!,"AAAAAGb/1ek=")</f>
        <v>#REF!</v>
      </c>
      <c r="IA30" s="1" t="e">
        <f>AND(#REF!,"AAAAAGb/1eo=")</f>
        <v>#REF!</v>
      </c>
      <c r="IB30" s="1" t="e">
        <f>AND(#REF!,"AAAAAGb/1es=")</f>
        <v>#REF!</v>
      </c>
      <c r="IC30" s="1" t="e">
        <f>AND(#REF!,"AAAAAGb/1ew=")</f>
        <v>#REF!</v>
      </c>
      <c r="ID30" s="1" t="e">
        <f>AND(#REF!,"AAAAAGb/1e0=")</f>
        <v>#REF!</v>
      </c>
      <c r="IE30" s="1" t="e">
        <f>AND(#REF!,"AAAAAGb/1e4=")</f>
        <v>#REF!</v>
      </c>
      <c r="IF30" s="1" t="e">
        <f>AND(#REF!,"AAAAAGb/1e8=")</f>
        <v>#REF!</v>
      </c>
      <c r="IG30" s="1" t="e">
        <f>AND(#REF!,"AAAAAGb/1fA=")</f>
        <v>#REF!</v>
      </c>
      <c r="IH30" s="1" t="e">
        <f>AND(#REF!,"AAAAAGb/1fE=")</f>
        <v>#REF!</v>
      </c>
      <c r="II30" s="1" t="e">
        <f>AND(#REF!,"AAAAAGb/1fI=")</f>
        <v>#REF!</v>
      </c>
      <c r="IJ30" s="1" t="e">
        <f>AND(#REF!,"AAAAAGb/1fM=")</f>
        <v>#REF!</v>
      </c>
      <c r="IK30" s="1" t="e">
        <f>AND(#REF!,"AAAAAGb/1fQ=")</f>
        <v>#REF!</v>
      </c>
      <c r="IL30" s="1" t="e">
        <f>AND(#REF!,"AAAAAGb/1fU=")</f>
        <v>#REF!</v>
      </c>
      <c r="IM30" s="1" t="e">
        <f>AND(#REF!,"AAAAAGb/1fY=")</f>
        <v>#REF!</v>
      </c>
      <c r="IN30" s="1" t="e">
        <f>AND(#REF!,"AAAAAGb/1fc=")</f>
        <v>#REF!</v>
      </c>
      <c r="IO30" s="1" t="e">
        <f>AND(#REF!,"AAAAAGb/1fg=")</f>
        <v>#REF!</v>
      </c>
      <c r="IP30" s="1" t="e">
        <f>AND(#REF!,"AAAAAGb/1fk=")</f>
        <v>#REF!</v>
      </c>
      <c r="IQ30" s="1" t="e">
        <f>AND(#REF!,"AAAAAGb/1fo=")</f>
        <v>#REF!</v>
      </c>
      <c r="IR30" s="1" t="e">
        <f>AND(#REF!,"AAAAAGb/1fs=")</f>
        <v>#REF!</v>
      </c>
      <c r="IS30" s="1" t="e">
        <f>IF(#REF!,"AAAAAGb/1fw=",0)</f>
        <v>#REF!</v>
      </c>
      <c r="IT30" s="1" t="e">
        <f>AND(#REF!,"AAAAAGb/1f0=")</f>
        <v>#REF!</v>
      </c>
      <c r="IU30" s="1" t="e">
        <f>AND(#REF!,"AAAAAGb/1f4=")</f>
        <v>#REF!</v>
      </c>
      <c r="IV30" s="1" t="e">
        <f>AND(#REF!,"AAAAAGb/1f8=")</f>
        <v>#REF!</v>
      </c>
    </row>
    <row r="31" spans="1:256" ht="15" customHeight="1" x14ac:dyDescent="0.2">
      <c r="A31" s="1" t="e">
        <f>AND(#REF!,"AAAAAEuWfQA=")</f>
        <v>#REF!</v>
      </c>
      <c r="B31" s="1" t="e">
        <f>AND(#REF!,"AAAAAEuWfQE=")</f>
        <v>#REF!</v>
      </c>
      <c r="C31" s="1" t="e">
        <f>AND(#REF!,"AAAAAEuWfQI=")</f>
        <v>#REF!</v>
      </c>
      <c r="D31" s="1" t="e">
        <f>AND(#REF!,"AAAAAEuWfQM=")</f>
        <v>#REF!</v>
      </c>
      <c r="E31" s="1" t="e">
        <f>AND(#REF!,"AAAAAEuWfQQ=")</f>
        <v>#REF!</v>
      </c>
      <c r="F31" s="1" t="e">
        <f>AND(#REF!,"AAAAAEuWfQU=")</f>
        <v>#REF!</v>
      </c>
      <c r="G31" s="1" t="e">
        <f>AND(#REF!,"AAAAAEuWfQY=")</f>
        <v>#REF!</v>
      </c>
      <c r="H31" s="1" t="e">
        <f>AND(#REF!,"AAAAAEuWfQc=")</f>
        <v>#REF!</v>
      </c>
      <c r="I31" s="1" t="e">
        <f>AND(#REF!,"AAAAAEuWfQg=")</f>
        <v>#REF!</v>
      </c>
      <c r="J31" s="1" t="e">
        <f>AND(#REF!,"AAAAAEuWfQk=")</f>
        <v>#REF!</v>
      </c>
      <c r="K31" s="1" t="e">
        <f>AND(#REF!,"AAAAAEuWfQo=")</f>
        <v>#REF!</v>
      </c>
      <c r="L31" s="1" t="e">
        <f>AND(#REF!,"AAAAAEuWfQs=")</f>
        <v>#REF!</v>
      </c>
      <c r="M31" s="1" t="e">
        <f>AND(#REF!,"AAAAAEuWfQw=")</f>
        <v>#REF!</v>
      </c>
      <c r="N31" s="1" t="e">
        <f>AND(#REF!,"AAAAAEuWfQ0=")</f>
        <v>#REF!</v>
      </c>
      <c r="O31" s="1" t="e">
        <f>AND(#REF!,"AAAAAEuWfQ4=")</f>
        <v>#REF!</v>
      </c>
      <c r="P31" s="1" t="e">
        <f>AND(#REF!,"AAAAAEuWfQ8=")</f>
        <v>#REF!</v>
      </c>
      <c r="Q31" s="1" t="e">
        <f>AND(#REF!,"AAAAAEuWfRA=")</f>
        <v>#REF!</v>
      </c>
      <c r="R31" s="1" t="e">
        <f>AND(#REF!,"AAAAAEuWfRE=")</f>
        <v>#REF!</v>
      </c>
      <c r="S31" s="1" t="e">
        <f>AND(#REF!,"AAAAAEuWfRI=")</f>
        <v>#REF!</v>
      </c>
      <c r="T31" s="1" t="e">
        <f>AND(#REF!,"AAAAAEuWfRM=")</f>
        <v>#REF!</v>
      </c>
      <c r="U31" s="1" t="e">
        <f>AND(#REF!,"AAAAAEuWfRQ=")</f>
        <v>#REF!</v>
      </c>
      <c r="V31" s="1" t="e">
        <f>AND(#REF!,"AAAAAEuWfRU=")</f>
        <v>#REF!</v>
      </c>
      <c r="W31" s="1" t="e">
        <f>AND(#REF!,"AAAAAEuWfRY=")</f>
        <v>#REF!</v>
      </c>
      <c r="X31" s="1" t="e">
        <f>AND(#REF!,"AAAAAEuWfRc=")</f>
        <v>#REF!</v>
      </c>
      <c r="Y31" s="1" t="e">
        <f>AND(#REF!,"AAAAAEuWfRg=")</f>
        <v>#REF!</v>
      </c>
      <c r="Z31" s="1" t="e">
        <f>AND(#REF!,"AAAAAEuWfRk=")</f>
        <v>#REF!</v>
      </c>
      <c r="AA31" s="1" t="e">
        <f>AND(#REF!,"AAAAAEuWfRo=")</f>
        <v>#REF!</v>
      </c>
      <c r="AB31" s="1" t="e">
        <f>AND(#REF!,"AAAAAEuWfRs=")</f>
        <v>#REF!</v>
      </c>
      <c r="AC31" s="1" t="e">
        <f>AND(#REF!,"AAAAAEuWfRw=")</f>
        <v>#REF!</v>
      </c>
      <c r="AD31" s="1" t="e">
        <f>AND(#REF!,"AAAAAEuWfR0=")</f>
        <v>#REF!</v>
      </c>
      <c r="AE31" s="1" t="e">
        <f>AND(#REF!,"AAAAAEuWfR4=")</f>
        <v>#REF!</v>
      </c>
      <c r="AF31" s="1" t="e">
        <f>AND(#REF!,"AAAAAEuWfR8=")</f>
        <v>#REF!</v>
      </c>
      <c r="AG31" s="1" t="e">
        <f>AND(#REF!,"AAAAAEuWfSA=")</f>
        <v>#REF!</v>
      </c>
      <c r="AH31" s="1" t="e">
        <f>AND(#REF!,"AAAAAEuWfSE=")</f>
        <v>#REF!</v>
      </c>
      <c r="AI31" s="1" t="e">
        <f>AND(#REF!,"AAAAAEuWfSI=")</f>
        <v>#REF!</v>
      </c>
      <c r="AJ31" s="1" t="e">
        <f>AND(#REF!,"AAAAAEuWfSM=")</f>
        <v>#REF!</v>
      </c>
      <c r="AK31" s="1" t="e">
        <f>AND(#REF!,"AAAAAEuWfSQ=")</f>
        <v>#REF!</v>
      </c>
      <c r="AL31" s="1" t="e">
        <f>AND(#REF!,"AAAAAEuWfSU=")</f>
        <v>#REF!</v>
      </c>
      <c r="AM31" s="1" t="e">
        <f>AND(#REF!,"AAAAAEuWfSY=")</f>
        <v>#REF!</v>
      </c>
      <c r="AN31" s="1" t="e">
        <f>AND(#REF!,"AAAAAEuWfSc=")</f>
        <v>#REF!</v>
      </c>
      <c r="AO31" s="1" t="e">
        <f>AND(#REF!,"AAAAAEuWfSg=")</f>
        <v>#REF!</v>
      </c>
      <c r="AP31" s="1" t="e">
        <f>AND(#REF!,"AAAAAEuWfSk=")</f>
        <v>#REF!</v>
      </c>
      <c r="AQ31" s="1" t="e">
        <f>AND(#REF!,"AAAAAEuWfSo=")</f>
        <v>#REF!</v>
      </c>
      <c r="AR31" s="1" t="e">
        <f>AND(#REF!,"AAAAAEuWfSs=")</f>
        <v>#REF!</v>
      </c>
      <c r="AS31" s="1" t="e">
        <f>AND(#REF!,"AAAAAEuWfSw=")</f>
        <v>#REF!</v>
      </c>
      <c r="AT31" s="1" t="e">
        <f>AND(#REF!,"AAAAAEuWfS0=")</f>
        <v>#REF!</v>
      </c>
      <c r="AU31" s="1" t="e">
        <f>AND(#REF!,"AAAAAEuWfS4=")</f>
        <v>#REF!</v>
      </c>
      <c r="AV31" s="1" t="e">
        <f>AND(#REF!,"AAAAAEuWfS8=")</f>
        <v>#REF!</v>
      </c>
      <c r="AW31" s="1" t="e">
        <f>AND(#REF!,"AAAAAEuWfTA=")</f>
        <v>#REF!</v>
      </c>
      <c r="AX31" s="1" t="e">
        <f>AND(#REF!,"AAAAAEuWfTE=")</f>
        <v>#REF!</v>
      </c>
      <c r="AY31" s="1" t="e">
        <f>AND(#REF!,"AAAAAEuWfTI=")</f>
        <v>#REF!</v>
      </c>
      <c r="AZ31" s="1" t="e">
        <f>AND(#REF!,"AAAAAEuWfTM=")</f>
        <v>#REF!</v>
      </c>
      <c r="BA31" s="1" t="e">
        <f>AND(#REF!,"AAAAAEuWfTQ=")</f>
        <v>#REF!</v>
      </c>
      <c r="BB31" s="1" t="e">
        <f>AND(#REF!,"AAAAAEuWfTU=")</f>
        <v>#REF!</v>
      </c>
      <c r="BC31" s="1" t="e">
        <f>AND(#REF!,"AAAAAEuWfTY=")</f>
        <v>#REF!</v>
      </c>
      <c r="BD31" s="1" t="e">
        <f>AND(#REF!,"AAAAAEuWfTc=")</f>
        <v>#REF!</v>
      </c>
      <c r="BE31" s="1" t="e">
        <f>AND(#REF!,"AAAAAEuWfTg=")</f>
        <v>#REF!</v>
      </c>
      <c r="BF31" s="1" t="e">
        <f>AND(#REF!,"AAAAAEuWfTk=")</f>
        <v>#REF!</v>
      </c>
      <c r="BG31" s="1" t="e">
        <f>AND(#REF!,"AAAAAEuWfTo=")</f>
        <v>#REF!</v>
      </c>
      <c r="BH31" s="1" t="e">
        <f>AND(#REF!,"AAAAAEuWfTs=")</f>
        <v>#REF!</v>
      </c>
      <c r="BI31" s="1" t="e">
        <f>AND(#REF!,"AAAAAEuWfTw=")</f>
        <v>#REF!</v>
      </c>
      <c r="BJ31" s="1" t="e">
        <f>AND(#REF!,"AAAAAEuWfT0=")</f>
        <v>#REF!</v>
      </c>
      <c r="BK31" s="1" t="e">
        <f>AND(#REF!,"AAAAAEuWfT4=")</f>
        <v>#REF!</v>
      </c>
      <c r="BL31" s="1" t="e">
        <f>AND(#REF!,"AAAAAEuWfT8=")</f>
        <v>#REF!</v>
      </c>
      <c r="BM31" s="1" t="e">
        <f>AND(#REF!,"AAAAAEuWfUA=")</f>
        <v>#REF!</v>
      </c>
      <c r="BN31" s="1" t="e">
        <f>AND(#REF!,"AAAAAEuWfUE=")</f>
        <v>#REF!</v>
      </c>
      <c r="BO31" s="1" t="e">
        <f>AND(#REF!,"AAAAAEuWfUI=")</f>
        <v>#REF!</v>
      </c>
      <c r="BP31" s="1" t="e">
        <f>AND(#REF!,"AAAAAEuWfUM=")</f>
        <v>#REF!</v>
      </c>
      <c r="BQ31" s="1" t="e">
        <f>AND(#REF!,"AAAAAEuWfUQ=")</f>
        <v>#REF!</v>
      </c>
      <c r="BR31" s="1" t="e">
        <f>AND(#REF!,"AAAAAEuWfUU=")</f>
        <v>#REF!</v>
      </c>
      <c r="BS31" s="1" t="e">
        <f>AND(#REF!,"AAAAAEuWfUY=")</f>
        <v>#REF!</v>
      </c>
      <c r="BT31" s="1" t="e">
        <f>AND(#REF!,"AAAAAEuWfUc=")</f>
        <v>#REF!</v>
      </c>
      <c r="BU31" s="1" t="e">
        <f>AND(#REF!,"AAAAAEuWfUg=")</f>
        <v>#REF!</v>
      </c>
      <c r="BV31" s="1" t="e">
        <f>AND(#REF!,"AAAAAEuWfUk=")</f>
        <v>#REF!</v>
      </c>
      <c r="BW31" s="1" t="e">
        <f>AND(#REF!,"AAAAAEuWfUo=")</f>
        <v>#REF!</v>
      </c>
      <c r="BX31" s="1" t="e">
        <f>AND(#REF!,"AAAAAEuWfUs=")</f>
        <v>#REF!</v>
      </c>
      <c r="BY31" s="1" t="e">
        <f>AND(#REF!,"AAAAAEuWfUw=")</f>
        <v>#REF!</v>
      </c>
      <c r="BZ31" s="1" t="e">
        <f>AND(#REF!,"AAAAAEuWfU0=")</f>
        <v>#REF!</v>
      </c>
      <c r="CA31" s="1" t="e">
        <f>AND(#REF!,"AAAAAEuWfU4=")</f>
        <v>#REF!</v>
      </c>
      <c r="CB31" s="1" t="e">
        <f>AND(#REF!,"AAAAAEuWfU8=")</f>
        <v>#REF!</v>
      </c>
      <c r="CC31" s="1" t="e">
        <f>AND(#REF!,"AAAAAEuWfVA=")</f>
        <v>#REF!</v>
      </c>
      <c r="CD31" s="1" t="e">
        <f>AND(#REF!,"AAAAAEuWfVE=")</f>
        <v>#REF!</v>
      </c>
      <c r="CE31" s="1" t="e">
        <f>AND(#REF!,"AAAAAEuWfVI=")</f>
        <v>#REF!</v>
      </c>
      <c r="CF31" s="1" t="e">
        <f>AND(#REF!,"AAAAAEuWfVM=")</f>
        <v>#REF!</v>
      </c>
      <c r="CG31" s="1" t="e">
        <f>AND(#REF!,"AAAAAEuWfVQ=")</f>
        <v>#REF!</v>
      </c>
      <c r="CH31" s="1" t="e">
        <f>AND(#REF!,"AAAAAEuWfVU=")</f>
        <v>#REF!</v>
      </c>
      <c r="CI31" s="1" t="e">
        <f>AND(#REF!,"AAAAAEuWfVY=")</f>
        <v>#REF!</v>
      </c>
      <c r="CJ31" s="1" t="e">
        <f>AND(#REF!,"AAAAAEuWfVc=")</f>
        <v>#REF!</v>
      </c>
      <c r="CK31" s="1" t="e">
        <f>AND(#REF!,"AAAAAEuWfVg=")</f>
        <v>#REF!</v>
      </c>
      <c r="CL31" s="1" t="e">
        <f>AND(#REF!,"AAAAAEuWfVk=")</f>
        <v>#REF!</v>
      </c>
      <c r="CM31" s="1" t="e">
        <f>AND(#REF!,"AAAAAEuWfVo=")</f>
        <v>#REF!</v>
      </c>
      <c r="CN31" s="1" t="e">
        <f>AND(#REF!,"AAAAAEuWfVs=")</f>
        <v>#REF!</v>
      </c>
      <c r="CO31" s="1" t="e">
        <f>AND(#REF!,"AAAAAEuWfVw=")</f>
        <v>#REF!</v>
      </c>
      <c r="CP31" s="1" t="e">
        <f>AND(#REF!,"AAAAAEuWfV0=")</f>
        <v>#REF!</v>
      </c>
      <c r="CQ31" s="1" t="e">
        <f>AND(#REF!,"AAAAAEuWfV4=")</f>
        <v>#REF!</v>
      </c>
      <c r="CR31" s="1" t="e">
        <f>AND(#REF!,"AAAAAEuWfV8=")</f>
        <v>#REF!</v>
      </c>
      <c r="CS31" s="1" t="e">
        <f>AND(#REF!,"AAAAAEuWfWA=")</f>
        <v>#REF!</v>
      </c>
      <c r="CT31" s="1" t="e">
        <f>AND(#REF!,"AAAAAEuWfWE=")</f>
        <v>#REF!</v>
      </c>
      <c r="CU31" s="1" t="e">
        <f>AND(#REF!,"AAAAAEuWfWI=")</f>
        <v>#REF!</v>
      </c>
      <c r="CV31" s="1" t="e">
        <f>IF(#REF!,"AAAAAEuWfWM=",0)</f>
        <v>#REF!</v>
      </c>
      <c r="CW31" s="1" t="e">
        <f>AND(#REF!,"AAAAAEuWfWQ=")</f>
        <v>#REF!</v>
      </c>
      <c r="CX31" s="1" t="e">
        <f>AND(#REF!,"AAAAAEuWfWU=")</f>
        <v>#REF!</v>
      </c>
      <c r="CY31" s="1" t="e">
        <f>AND(#REF!,"AAAAAEuWfWY=")</f>
        <v>#REF!</v>
      </c>
      <c r="CZ31" s="1" t="e">
        <f>AND(#REF!,"AAAAAEuWfWc=")</f>
        <v>#REF!</v>
      </c>
      <c r="DA31" s="1" t="e">
        <f>AND(#REF!,"AAAAAEuWfWg=")</f>
        <v>#REF!</v>
      </c>
      <c r="DB31" s="1" t="e">
        <f>AND(#REF!,"AAAAAEuWfWk=")</f>
        <v>#REF!</v>
      </c>
      <c r="DC31" s="1" t="e">
        <f>AND(#REF!,"AAAAAEuWfWo=")</f>
        <v>#REF!</v>
      </c>
      <c r="DD31" s="1" t="e">
        <f>AND(#REF!,"AAAAAEuWfWs=")</f>
        <v>#REF!</v>
      </c>
      <c r="DE31" s="1" t="e">
        <f>AND(#REF!,"AAAAAEuWfWw=")</f>
        <v>#REF!</v>
      </c>
      <c r="DF31" s="1" t="e">
        <f>AND(#REF!,"AAAAAEuWfW0=")</f>
        <v>#REF!</v>
      </c>
      <c r="DG31" s="1" t="e">
        <f>AND(#REF!,"AAAAAEuWfW4=")</f>
        <v>#REF!</v>
      </c>
      <c r="DH31" s="1" t="e">
        <f>AND(#REF!,"AAAAAEuWfW8=")</f>
        <v>#REF!</v>
      </c>
      <c r="DI31" s="1" t="e">
        <f>AND(#REF!,"AAAAAEuWfXA=")</f>
        <v>#REF!</v>
      </c>
      <c r="DJ31" s="1" t="e">
        <f>AND(#REF!,"AAAAAEuWfXE=")</f>
        <v>#REF!</v>
      </c>
      <c r="DK31" s="1" t="e">
        <f>AND(#REF!,"AAAAAEuWfXI=")</f>
        <v>#REF!</v>
      </c>
      <c r="DL31" s="1" t="e">
        <f>AND(#REF!,"AAAAAEuWfXM=")</f>
        <v>#REF!</v>
      </c>
      <c r="DM31" s="1" t="e">
        <f>AND(#REF!,"AAAAAEuWfXQ=")</f>
        <v>#REF!</v>
      </c>
      <c r="DN31" s="1" t="e">
        <f>AND(#REF!,"AAAAAEuWfXU=")</f>
        <v>#REF!</v>
      </c>
      <c r="DO31" s="1" t="e">
        <f>AND(#REF!,"AAAAAEuWfXY=")</f>
        <v>#REF!</v>
      </c>
      <c r="DP31" s="1" t="e">
        <f>AND(#REF!,"AAAAAEuWfXc=")</f>
        <v>#REF!</v>
      </c>
      <c r="DQ31" s="1" t="e">
        <f>AND(#REF!,"AAAAAEuWfXg=")</f>
        <v>#REF!</v>
      </c>
      <c r="DR31" s="1" t="e">
        <f>AND(#REF!,"AAAAAEuWfXk=")</f>
        <v>#REF!</v>
      </c>
      <c r="DS31" s="1" t="e">
        <f>AND(#REF!,"AAAAAEuWfXo=")</f>
        <v>#REF!</v>
      </c>
      <c r="DT31" s="1" t="e">
        <f>AND(#REF!,"AAAAAEuWfXs=")</f>
        <v>#REF!</v>
      </c>
      <c r="DU31" s="1" t="e">
        <f>AND(#REF!,"AAAAAEuWfXw=")</f>
        <v>#REF!</v>
      </c>
      <c r="DV31" s="1" t="e">
        <f>AND(#REF!,"AAAAAEuWfX0=")</f>
        <v>#REF!</v>
      </c>
      <c r="DW31" s="1" t="e">
        <f>AND(#REF!,"AAAAAEuWfX4=")</f>
        <v>#REF!</v>
      </c>
      <c r="DX31" s="1" t="e">
        <f>AND(#REF!,"AAAAAEuWfX8=")</f>
        <v>#REF!</v>
      </c>
      <c r="DY31" s="1" t="e">
        <f>AND(#REF!,"AAAAAEuWfYA=")</f>
        <v>#REF!</v>
      </c>
      <c r="DZ31" s="1" t="e">
        <f>AND(#REF!,"AAAAAEuWfYE=")</f>
        <v>#REF!</v>
      </c>
      <c r="EA31" s="1" t="e">
        <f>AND(#REF!,"AAAAAEuWfYI=")</f>
        <v>#REF!</v>
      </c>
      <c r="EB31" s="1" t="e">
        <f>AND(#REF!,"AAAAAEuWfYM=")</f>
        <v>#REF!</v>
      </c>
      <c r="EC31" s="1" t="e">
        <f>AND(#REF!,"AAAAAEuWfYQ=")</f>
        <v>#REF!</v>
      </c>
      <c r="ED31" s="1" t="e">
        <f>AND(#REF!,"AAAAAEuWfYU=")</f>
        <v>#REF!</v>
      </c>
      <c r="EE31" s="1" t="e">
        <f>AND(#REF!,"AAAAAEuWfYY=")</f>
        <v>#REF!</v>
      </c>
      <c r="EF31" s="1" t="e">
        <f>AND(#REF!,"AAAAAEuWfYc=")</f>
        <v>#REF!</v>
      </c>
      <c r="EG31" s="1" t="e">
        <f>AND(#REF!,"AAAAAEuWfYg=")</f>
        <v>#REF!</v>
      </c>
      <c r="EH31" s="1" t="e">
        <f>AND(#REF!,"AAAAAEuWfYk=")</f>
        <v>#REF!</v>
      </c>
      <c r="EI31" s="1" t="e">
        <f>AND(#REF!,"AAAAAEuWfYo=")</f>
        <v>#REF!</v>
      </c>
      <c r="EJ31" s="1" t="e">
        <f>AND(#REF!,"AAAAAEuWfYs=")</f>
        <v>#REF!</v>
      </c>
      <c r="EK31" s="1" t="e">
        <f>AND(#REF!,"AAAAAEuWfYw=")</f>
        <v>#REF!</v>
      </c>
      <c r="EL31" s="1" t="e">
        <f>AND(#REF!,"AAAAAEuWfY0=")</f>
        <v>#REF!</v>
      </c>
      <c r="EM31" s="1" t="e">
        <f>AND(#REF!,"AAAAAEuWfY4=")</f>
        <v>#REF!</v>
      </c>
      <c r="EN31" s="1" t="e">
        <f>AND(#REF!,"AAAAAEuWfY8=")</f>
        <v>#REF!</v>
      </c>
      <c r="EO31" s="1" t="e">
        <f>AND(#REF!,"AAAAAEuWfZA=")</f>
        <v>#REF!</v>
      </c>
      <c r="EP31" s="1" t="e">
        <f>AND(#REF!,"AAAAAEuWfZE=")</f>
        <v>#REF!</v>
      </c>
      <c r="EQ31" s="1" t="e">
        <f>AND(#REF!,"AAAAAEuWfZI=")</f>
        <v>#REF!</v>
      </c>
      <c r="ER31" s="1" t="e">
        <f>AND(#REF!,"AAAAAEuWfZM=")</f>
        <v>#REF!</v>
      </c>
      <c r="ES31" s="1" t="e">
        <f>AND(#REF!,"AAAAAEuWfZQ=")</f>
        <v>#REF!</v>
      </c>
      <c r="ET31" s="1" t="e">
        <f>AND(#REF!,"AAAAAEuWfZU=")</f>
        <v>#REF!</v>
      </c>
      <c r="EU31" s="1" t="e">
        <f>AND(#REF!,"AAAAAEuWfZY=")</f>
        <v>#REF!</v>
      </c>
      <c r="EV31" s="1" t="e">
        <f>AND(#REF!,"AAAAAEuWfZc=")</f>
        <v>#REF!</v>
      </c>
      <c r="EW31" s="1" t="e">
        <f>AND(#REF!,"AAAAAEuWfZg=")</f>
        <v>#REF!</v>
      </c>
      <c r="EX31" s="1" t="e">
        <f>AND(#REF!,"AAAAAEuWfZk=")</f>
        <v>#REF!</v>
      </c>
      <c r="EY31" s="1" t="e">
        <f>AND(#REF!,"AAAAAEuWfZo=")</f>
        <v>#REF!</v>
      </c>
      <c r="EZ31" s="1" t="e">
        <f>AND(#REF!,"AAAAAEuWfZs=")</f>
        <v>#REF!</v>
      </c>
      <c r="FA31" s="1" t="e">
        <f>AND(#REF!,"AAAAAEuWfZw=")</f>
        <v>#REF!</v>
      </c>
      <c r="FB31" s="1" t="e">
        <f>AND(#REF!,"AAAAAEuWfZ0=")</f>
        <v>#REF!</v>
      </c>
      <c r="FC31" s="1" t="e">
        <f>AND(#REF!,"AAAAAEuWfZ4=")</f>
        <v>#REF!</v>
      </c>
      <c r="FD31" s="1" t="e">
        <f>AND(#REF!,"AAAAAEuWfZ8=")</f>
        <v>#REF!</v>
      </c>
      <c r="FE31" s="1" t="e">
        <f>AND(#REF!,"AAAAAEuWfaA=")</f>
        <v>#REF!</v>
      </c>
      <c r="FF31" s="1" t="e">
        <f>AND(#REF!,"AAAAAEuWfaE=")</f>
        <v>#REF!</v>
      </c>
      <c r="FG31" s="1" t="e">
        <f>AND(#REF!,"AAAAAEuWfaI=")</f>
        <v>#REF!</v>
      </c>
      <c r="FH31" s="1" t="e">
        <f>AND(#REF!,"AAAAAEuWfaM=")</f>
        <v>#REF!</v>
      </c>
      <c r="FI31" s="1" t="e">
        <f>AND(#REF!,"AAAAAEuWfaQ=")</f>
        <v>#REF!</v>
      </c>
      <c r="FJ31" s="1" t="e">
        <f>AND(#REF!,"AAAAAEuWfaU=")</f>
        <v>#REF!</v>
      </c>
      <c r="FK31" s="1" t="e">
        <f>AND(#REF!,"AAAAAEuWfaY=")</f>
        <v>#REF!</v>
      </c>
      <c r="FL31" s="1" t="e">
        <f>AND(#REF!,"AAAAAEuWfac=")</f>
        <v>#REF!</v>
      </c>
      <c r="FM31" s="1" t="e">
        <f>AND(#REF!,"AAAAAEuWfag=")</f>
        <v>#REF!</v>
      </c>
      <c r="FN31" s="1" t="e">
        <f>AND(#REF!,"AAAAAEuWfak=")</f>
        <v>#REF!</v>
      </c>
      <c r="FO31" s="1" t="e">
        <f>AND(#REF!,"AAAAAEuWfao=")</f>
        <v>#REF!</v>
      </c>
      <c r="FP31" s="1" t="e">
        <f>AND(#REF!,"AAAAAEuWfas=")</f>
        <v>#REF!</v>
      </c>
      <c r="FQ31" s="1" t="e">
        <f>AND(#REF!,"AAAAAEuWfaw=")</f>
        <v>#REF!</v>
      </c>
      <c r="FR31" s="1" t="e">
        <f>AND(#REF!,"AAAAAEuWfa0=")</f>
        <v>#REF!</v>
      </c>
      <c r="FS31" s="1" t="e">
        <f>AND(#REF!,"AAAAAEuWfa4=")</f>
        <v>#REF!</v>
      </c>
      <c r="FT31" s="1" t="e">
        <f>AND(#REF!,"AAAAAEuWfa8=")</f>
        <v>#REF!</v>
      </c>
      <c r="FU31" s="1" t="e">
        <f>AND(#REF!,"AAAAAEuWfbA=")</f>
        <v>#REF!</v>
      </c>
      <c r="FV31" s="1" t="e">
        <f>AND(#REF!,"AAAAAEuWfbE=")</f>
        <v>#REF!</v>
      </c>
      <c r="FW31" s="1" t="e">
        <f>AND(#REF!,"AAAAAEuWfbI=")</f>
        <v>#REF!</v>
      </c>
      <c r="FX31" s="1" t="e">
        <f>AND(#REF!,"AAAAAEuWfbM=")</f>
        <v>#REF!</v>
      </c>
      <c r="FY31" s="1" t="e">
        <f>AND(#REF!,"AAAAAEuWfbQ=")</f>
        <v>#REF!</v>
      </c>
      <c r="FZ31" s="1" t="e">
        <f>AND(#REF!,"AAAAAEuWfbU=")</f>
        <v>#REF!</v>
      </c>
      <c r="GA31" s="1" t="e">
        <f>AND(#REF!,"AAAAAEuWfbY=")</f>
        <v>#REF!</v>
      </c>
      <c r="GB31" s="1" t="e">
        <f>AND(#REF!,"AAAAAEuWfbc=")</f>
        <v>#REF!</v>
      </c>
      <c r="GC31" s="1" t="e">
        <f>AND(#REF!,"AAAAAEuWfbg=")</f>
        <v>#REF!</v>
      </c>
      <c r="GD31" s="1" t="e">
        <f>AND(#REF!,"AAAAAEuWfbk=")</f>
        <v>#REF!</v>
      </c>
      <c r="GE31" s="1" t="e">
        <f>AND(#REF!,"AAAAAEuWfbo=")</f>
        <v>#REF!</v>
      </c>
      <c r="GF31" s="1" t="e">
        <f>AND(#REF!,"AAAAAEuWfbs=")</f>
        <v>#REF!</v>
      </c>
      <c r="GG31" s="1" t="e">
        <f>AND(#REF!,"AAAAAEuWfbw=")</f>
        <v>#REF!</v>
      </c>
      <c r="GH31" s="1" t="e">
        <f>AND(#REF!,"AAAAAEuWfb0=")</f>
        <v>#REF!</v>
      </c>
      <c r="GI31" s="1" t="e">
        <f>AND(#REF!,"AAAAAEuWfb4=")</f>
        <v>#REF!</v>
      </c>
      <c r="GJ31" s="1" t="e">
        <f>AND(#REF!,"AAAAAEuWfb8=")</f>
        <v>#REF!</v>
      </c>
      <c r="GK31" s="1" t="e">
        <f>AND(#REF!,"AAAAAEuWfcA=")</f>
        <v>#REF!</v>
      </c>
      <c r="GL31" s="1" t="e">
        <f>AND(#REF!,"AAAAAEuWfcE=")</f>
        <v>#REF!</v>
      </c>
      <c r="GM31" s="1" t="e">
        <f>AND(#REF!,"AAAAAEuWfcI=")</f>
        <v>#REF!</v>
      </c>
      <c r="GN31" s="1" t="e">
        <f>AND(#REF!,"AAAAAEuWfcM=")</f>
        <v>#REF!</v>
      </c>
      <c r="GO31" s="1" t="e">
        <f>AND(#REF!,"AAAAAEuWfcQ=")</f>
        <v>#REF!</v>
      </c>
      <c r="GP31" s="1" t="e">
        <f>AND(#REF!,"AAAAAEuWfcU=")</f>
        <v>#REF!</v>
      </c>
      <c r="GQ31" s="1" t="e">
        <f>AND(#REF!,"AAAAAEuWfcY=")</f>
        <v>#REF!</v>
      </c>
      <c r="GR31" s="1" t="e">
        <f>AND(#REF!,"AAAAAEuWfcc=")</f>
        <v>#REF!</v>
      </c>
      <c r="GS31" s="1" t="e">
        <f>AND(#REF!,"AAAAAEuWfcg=")</f>
        <v>#REF!</v>
      </c>
      <c r="GT31" s="1" t="e">
        <f>AND(#REF!,"AAAAAEuWfck=")</f>
        <v>#REF!</v>
      </c>
      <c r="GU31" s="1" t="e">
        <f>IF(#REF!,"AAAAAEuWfco=",0)</f>
        <v>#REF!</v>
      </c>
      <c r="GV31" s="1" t="e">
        <f>AND(#REF!,"AAAAAEuWfcs=")</f>
        <v>#REF!</v>
      </c>
      <c r="GW31" s="1" t="e">
        <f>AND(#REF!,"AAAAAEuWfcw=")</f>
        <v>#REF!</v>
      </c>
      <c r="GX31" s="1" t="e">
        <f>AND(#REF!,"AAAAAEuWfc0=")</f>
        <v>#REF!</v>
      </c>
      <c r="GY31" s="1" t="e">
        <f>AND(#REF!,"AAAAAEuWfc4=")</f>
        <v>#REF!</v>
      </c>
      <c r="GZ31" s="1" t="e">
        <f>AND(#REF!,"AAAAAEuWfc8=")</f>
        <v>#REF!</v>
      </c>
      <c r="HA31" s="1" t="e">
        <f>AND(#REF!,"AAAAAEuWfdA=")</f>
        <v>#REF!</v>
      </c>
      <c r="HB31" s="1" t="e">
        <f>AND(#REF!,"AAAAAEuWfdE=")</f>
        <v>#REF!</v>
      </c>
      <c r="HC31" s="1" t="e">
        <f>AND(#REF!,"AAAAAEuWfdI=")</f>
        <v>#REF!</v>
      </c>
      <c r="HD31" s="1" t="e">
        <f>AND(#REF!,"AAAAAEuWfdM=")</f>
        <v>#REF!</v>
      </c>
      <c r="HE31" s="1" t="e">
        <f>AND(#REF!,"AAAAAEuWfdQ=")</f>
        <v>#REF!</v>
      </c>
      <c r="HF31" s="1" t="e">
        <f>AND(#REF!,"AAAAAEuWfdU=")</f>
        <v>#REF!</v>
      </c>
      <c r="HG31" s="1" t="e">
        <f>AND(#REF!,"AAAAAEuWfdY=")</f>
        <v>#REF!</v>
      </c>
      <c r="HH31" s="1" t="e">
        <f>AND(#REF!,"AAAAAEuWfdc=")</f>
        <v>#REF!</v>
      </c>
      <c r="HI31" s="1" t="e">
        <f>AND(#REF!,"AAAAAEuWfdg=")</f>
        <v>#REF!</v>
      </c>
      <c r="HJ31" s="1" t="e">
        <f>AND(#REF!,"AAAAAEuWfdk=")</f>
        <v>#REF!</v>
      </c>
      <c r="HK31" s="1" t="e">
        <f>AND(#REF!,"AAAAAEuWfdo=")</f>
        <v>#REF!</v>
      </c>
      <c r="HL31" s="1" t="e">
        <f>AND(#REF!,"AAAAAEuWfds=")</f>
        <v>#REF!</v>
      </c>
      <c r="HM31" s="1" t="e">
        <f>AND(#REF!,"AAAAAEuWfdw=")</f>
        <v>#REF!</v>
      </c>
      <c r="HN31" s="1" t="e">
        <f>AND(#REF!,"AAAAAEuWfd0=")</f>
        <v>#REF!</v>
      </c>
      <c r="HO31" s="1" t="e">
        <f>AND(#REF!,"AAAAAEuWfd4=")</f>
        <v>#REF!</v>
      </c>
      <c r="HP31" s="1" t="e">
        <f>AND(#REF!,"AAAAAEuWfd8=")</f>
        <v>#REF!</v>
      </c>
      <c r="HQ31" s="1" t="e">
        <f>AND(#REF!,"AAAAAEuWfeA=")</f>
        <v>#REF!</v>
      </c>
      <c r="HR31" s="1" t="e">
        <f>AND(#REF!,"AAAAAEuWfeE=")</f>
        <v>#REF!</v>
      </c>
      <c r="HS31" s="1" t="e">
        <f>AND(#REF!,"AAAAAEuWfeI=")</f>
        <v>#REF!</v>
      </c>
      <c r="HT31" s="1" t="e">
        <f>AND(#REF!,"AAAAAEuWfeM=")</f>
        <v>#REF!</v>
      </c>
      <c r="HU31" s="1" t="e">
        <f>AND(#REF!,"AAAAAEuWfeQ=")</f>
        <v>#REF!</v>
      </c>
      <c r="HV31" s="1" t="e">
        <f>AND(#REF!,"AAAAAEuWfeU=")</f>
        <v>#REF!</v>
      </c>
      <c r="HW31" s="1" t="e">
        <f>AND(#REF!,"AAAAAEuWfeY=")</f>
        <v>#REF!</v>
      </c>
      <c r="HX31" s="1" t="e">
        <f>AND(#REF!,"AAAAAEuWfec=")</f>
        <v>#REF!</v>
      </c>
      <c r="HY31" s="1" t="e">
        <f>AND(#REF!,"AAAAAEuWfeg=")</f>
        <v>#REF!</v>
      </c>
      <c r="HZ31" s="1" t="e">
        <f>AND(#REF!,"AAAAAEuWfek=")</f>
        <v>#REF!</v>
      </c>
      <c r="IA31" s="1" t="e">
        <f>AND(#REF!,"AAAAAEuWfeo=")</f>
        <v>#REF!</v>
      </c>
      <c r="IB31" s="1" t="e">
        <f>AND(#REF!,"AAAAAEuWfes=")</f>
        <v>#REF!</v>
      </c>
      <c r="IC31" s="1" t="e">
        <f>AND(#REF!,"AAAAAEuWfew=")</f>
        <v>#REF!</v>
      </c>
      <c r="ID31" s="1" t="e">
        <f>AND(#REF!,"AAAAAEuWfe0=")</f>
        <v>#REF!</v>
      </c>
      <c r="IE31" s="1" t="e">
        <f>AND(#REF!,"AAAAAEuWfe4=")</f>
        <v>#REF!</v>
      </c>
      <c r="IF31" s="1" t="e">
        <f>AND(#REF!,"AAAAAEuWfe8=")</f>
        <v>#REF!</v>
      </c>
      <c r="IG31" s="1" t="e">
        <f>AND(#REF!,"AAAAAEuWffA=")</f>
        <v>#REF!</v>
      </c>
      <c r="IH31" s="1" t="e">
        <f>AND(#REF!,"AAAAAEuWffE=")</f>
        <v>#REF!</v>
      </c>
      <c r="II31" s="1" t="e">
        <f>AND(#REF!,"AAAAAEuWffI=")</f>
        <v>#REF!</v>
      </c>
      <c r="IJ31" s="1" t="e">
        <f>AND(#REF!,"AAAAAEuWffM=")</f>
        <v>#REF!</v>
      </c>
      <c r="IK31" s="1" t="e">
        <f>AND(#REF!,"AAAAAEuWffQ=")</f>
        <v>#REF!</v>
      </c>
      <c r="IL31" s="1" t="e">
        <f>AND(#REF!,"AAAAAEuWffU=")</f>
        <v>#REF!</v>
      </c>
      <c r="IM31" s="1" t="e">
        <f>AND(#REF!,"AAAAAEuWffY=")</f>
        <v>#REF!</v>
      </c>
      <c r="IN31" s="1" t="e">
        <f>AND(#REF!,"AAAAAEuWffc=")</f>
        <v>#REF!</v>
      </c>
      <c r="IO31" s="1" t="e">
        <f>AND(#REF!,"AAAAAEuWffg=")</f>
        <v>#REF!</v>
      </c>
      <c r="IP31" s="1" t="e">
        <f>AND(#REF!,"AAAAAEuWffk=")</f>
        <v>#REF!</v>
      </c>
      <c r="IQ31" s="1" t="e">
        <f>AND(#REF!,"AAAAAEuWffo=")</f>
        <v>#REF!</v>
      </c>
      <c r="IR31" s="1" t="e">
        <f>AND(#REF!,"AAAAAEuWffs=")</f>
        <v>#REF!</v>
      </c>
      <c r="IS31" s="1" t="e">
        <f>AND(#REF!,"AAAAAEuWffw=")</f>
        <v>#REF!</v>
      </c>
      <c r="IT31" s="1" t="e">
        <f>AND(#REF!,"AAAAAEuWff0=")</f>
        <v>#REF!</v>
      </c>
      <c r="IU31" s="1" t="e">
        <f>AND(#REF!,"AAAAAEuWff4=")</f>
        <v>#REF!</v>
      </c>
      <c r="IV31" s="1" t="e">
        <f>AND(#REF!,"AAAAAEuWff8=")</f>
        <v>#REF!</v>
      </c>
    </row>
    <row r="32" spans="1:256" ht="15" customHeight="1" x14ac:dyDescent="0.2">
      <c r="A32" s="1" t="e">
        <f>AND(#REF!,"AAAAACHL/wA=")</f>
        <v>#REF!</v>
      </c>
      <c r="B32" s="1" t="e">
        <f>AND(#REF!,"AAAAACHL/wE=")</f>
        <v>#REF!</v>
      </c>
      <c r="C32" s="1" t="e">
        <f>AND(#REF!,"AAAAACHL/wI=")</f>
        <v>#REF!</v>
      </c>
      <c r="D32" s="1" t="e">
        <f>AND(#REF!,"AAAAACHL/wM=")</f>
        <v>#REF!</v>
      </c>
      <c r="E32" s="1" t="e">
        <f>AND(#REF!,"AAAAACHL/wQ=")</f>
        <v>#REF!</v>
      </c>
      <c r="F32" s="1" t="e">
        <f>AND(#REF!,"AAAAACHL/wU=")</f>
        <v>#REF!</v>
      </c>
      <c r="G32" s="1" t="e">
        <f>AND(#REF!,"AAAAACHL/wY=")</f>
        <v>#REF!</v>
      </c>
      <c r="H32" s="1" t="e">
        <f>AND(#REF!,"AAAAACHL/wc=")</f>
        <v>#REF!</v>
      </c>
      <c r="I32" s="1" t="e">
        <f>AND(#REF!,"AAAAACHL/wg=")</f>
        <v>#REF!</v>
      </c>
      <c r="J32" s="1" t="e">
        <f>AND(#REF!,"AAAAACHL/wk=")</f>
        <v>#REF!</v>
      </c>
      <c r="K32" s="1" t="e">
        <f>AND(#REF!,"AAAAACHL/wo=")</f>
        <v>#REF!</v>
      </c>
      <c r="L32" s="1" t="e">
        <f>AND(#REF!,"AAAAACHL/ws=")</f>
        <v>#REF!</v>
      </c>
      <c r="M32" s="1" t="e">
        <f>AND(#REF!,"AAAAACHL/ww=")</f>
        <v>#REF!</v>
      </c>
      <c r="N32" s="1" t="e">
        <f>AND(#REF!,"AAAAACHL/w0=")</f>
        <v>#REF!</v>
      </c>
      <c r="O32" s="1" t="e">
        <f>AND(#REF!,"AAAAACHL/w4=")</f>
        <v>#REF!</v>
      </c>
      <c r="P32" s="1" t="e">
        <f>AND(#REF!,"AAAAACHL/w8=")</f>
        <v>#REF!</v>
      </c>
      <c r="Q32" s="1" t="e">
        <f>AND(#REF!,"AAAAACHL/xA=")</f>
        <v>#REF!</v>
      </c>
      <c r="R32" s="1" t="e">
        <f>AND(#REF!,"AAAAACHL/xE=")</f>
        <v>#REF!</v>
      </c>
      <c r="S32" s="1" t="e">
        <f>AND(#REF!,"AAAAACHL/xI=")</f>
        <v>#REF!</v>
      </c>
      <c r="T32" s="1" t="e">
        <f>AND(#REF!,"AAAAACHL/xM=")</f>
        <v>#REF!</v>
      </c>
      <c r="U32" s="1" t="e">
        <f>AND(#REF!,"AAAAACHL/xQ=")</f>
        <v>#REF!</v>
      </c>
      <c r="V32" s="1" t="e">
        <f>AND(#REF!,"AAAAACHL/xU=")</f>
        <v>#REF!</v>
      </c>
      <c r="W32" s="1" t="e">
        <f>AND(#REF!,"AAAAACHL/xY=")</f>
        <v>#REF!</v>
      </c>
      <c r="X32" s="1" t="e">
        <f>AND(#REF!,"AAAAACHL/xc=")</f>
        <v>#REF!</v>
      </c>
      <c r="Y32" s="1" t="e">
        <f>AND(#REF!,"AAAAACHL/xg=")</f>
        <v>#REF!</v>
      </c>
      <c r="Z32" s="1" t="e">
        <f>AND(#REF!,"AAAAACHL/xk=")</f>
        <v>#REF!</v>
      </c>
      <c r="AA32" s="1" t="e">
        <f>AND(#REF!,"AAAAACHL/xo=")</f>
        <v>#REF!</v>
      </c>
      <c r="AB32" s="1" t="e">
        <f>AND(#REF!,"AAAAACHL/xs=")</f>
        <v>#REF!</v>
      </c>
      <c r="AC32" s="1" t="e">
        <f>AND(#REF!,"AAAAACHL/xw=")</f>
        <v>#REF!</v>
      </c>
      <c r="AD32" s="1" t="e">
        <f>AND(#REF!,"AAAAACHL/x0=")</f>
        <v>#REF!</v>
      </c>
      <c r="AE32" s="1" t="e">
        <f>AND(#REF!,"AAAAACHL/x4=")</f>
        <v>#REF!</v>
      </c>
      <c r="AF32" s="1" t="e">
        <f>AND(#REF!,"AAAAACHL/x8=")</f>
        <v>#REF!</v>
      </c>
      <c r="AG32" s="1" t="e">
        <f>AND(#REF!,"AAAAACHL/yA=")</f>
        <v>#REF!</v>
      </c>
      <c r="AH32" s="1" t="e">
        <f>AND(#REF!,"AAAAACHL/yE=")</f>
        <v>#REF!</v>
      </c>
      <c r="AI32" s="1" t="e">
        <f>AND(#REF!,"AAAAACHL/yI=")</f>
        <v>#REF!</v>
      </c>
      <c r="AJ32" s="1" t="e">
        <f>AND(#REF!,"AAAAACHL/yM=")</f>
        <v>#REF!</v>
      </c>
      <c r="AK32" s="1" t="e">
        <f>AND(#REF!,"AAAAACHL/yQ=")</f>
        <v>#REF!</v>
      </c>
      <c r="AL32" s="1" t="e">
        <f>AND(#REF!,"AAAAACHL/yU=")</f>
        <v>#REF!</v>
      </c>
      <c r="AM32" s="1" t="e">
        <f>AND(#REF!,"AAAAACHL/yY=")</f>
        <v>#REF!</v>
      </c>
      <c r="AN32" s="1" t="e">
        <f>AND(#REF!,"AAAAACHL/yc=")</f>
        <v>#REF!</v>
      </c>
      <c r="AO32" s="1" t="e">
        <f>AND(#REF!,"AAAAACHL/yg=")</f>
        <v>#REF!</v>
      </c>
      <c r="AP32" s="1" t="e">
        <f>AND(#REF!,"AAAAACHL/yk=")</f>
        <v>#REF!</v>
      </c>
      <c r="AQ32" s="1" t="e">
        <f>AND(#REF!,"AAAAACHL/yo=")</f>
        <v>#REF!</v>
      </c>
      <c r="AR32" s="1" t="e">
        <f>AND(#REF!,"AAAAACHL/ys=")</f>
        <v>#REF!</v>
      </c>
      <c r="AS32" s="1" t="e">
        <f>AND(#REF!,"AAAAACHL/yw=")</f>
        <v>#REF!</v>
      </c>
      <c r="AT32" s="1" t="e">
        <f>AND(#REF!,"AAAAACHL/y0=")</f>
        <v>#REF!</v>
      </c>
      <c r="AU32" s="1" t="e">
        <f>AND(#REF!,"AAAAACHL/y4=")</f>
        <v>#REF!</v>
      </c>
      <c r="AV32" s="1" t="e">
        <f>AND(#REF!,"AAAAACHL/y8=")</f>
        <v>#REF!</v>
      </c>
      <c r="AW32" s="1" t="e">
        <f>AND(#REF!,"AAAAACHL/zA=")</f>
        <v>#REF!</v>
      </c>
      <c r="AX32" s="1" t="e">
        <f>IF(#REF!,"AAAAACHL/zE=",0)</f>
        <v>#REF!</v>
      </c>
      <c r="AY32" s="1" t="e">
        <f>AND(#REF!,"AAAAACHL/zI=")</f>
        <v>#REF!</v>
      </c>
      <c r="AZ32" s="1" t="e">
        <f>AND(#REF!,"AAAAACHL/zM=")</f>
        <v>#REF!</v>
      </c>
      <c r="BA32" s="1" t="e">
        <f>AND(#REF!,"AAAAACHL/zQ=")</f>
        <v>#REF!</v>
      </c>
      <c r="BB32" s="1" t="e">
        <f>AND(#REF!,"AAAAACHL/zU=")</f>
        <v>#REF!</v>
      </c>
      <c r="BC32" s="1" t="e">
        <f>AND(#REF!,"AAAAACHL/zY=")</f>
        <v>#REF!</v>
      </c>
      <c r="BD32" s="1" t="e">
        <f>AND(#REF!,"AAAAACHL/zc=")</f>
        <v>#REF!</v>
      </c>
      <c r="BE32" s="1" t="e">
        <f>AND(#REF!,"AAAAACHL/zg=")</f>
        <v>#REF!</v>
      </c>
      <c r="BF32" s="1" t="e">
        <f>AND(#REF!,"AAAAACHL/zk=")</f>
        <v>#REF!</v>
      </c>
      <c r="BG32" s="1" t="e">
        <f>AND(#REF!,"AAAAACHL/zo=")</f>
        <v>#REF!</v>
      </c>
      <c r="BH32" s="1" t="e">
        <f>AND(#REF!,"AAAAACHL/zs=")</f>
        <v>#REF!</v>
      </c>
      <c r="BI32" s="1" t="e">
        <f>AND(#REF!,"AAAAACHL/zw=")</f>
        <v>#REF!</v>
      </c>
      <c r="BJ32" s="1" t="e">
        <f>AND(#REF!,"AAAAACHL/z0=")</f>
        <v>#REF!</v>
      </c>
      <c r="BK32" s="1" t="e">
        <f>AND(#REF!,"AAAAACHL/z4=")</f>
        <v>#REF!</v>
      </c>
      <c r="BL32" s="1" t="e">
        <f>AND(#REF!,"AAAAACHL/z8=")</f>
        <v>#REF!</v>
      </c>
      <c r="BM32" s="1" t="e">
        <f>AND(#REF!,"AAAAACHL/0A=")</f>
        <v>#REF!</v>
      </c>
      <c r="BN32" s="1" t="e">
        <f>AND(#REF!,"AAAAACHL/0E=")</f>
        <v>#REF!</v>
      </c>
      <c r="BO32" s="1" t="e">
        <f>AND(#REF!,"AAAAACHL/0I=")</f>
        <v>#REF!</v>
      </c>
      <c r="BP32" s="1" t="e">
        <f>AND(#REF!,"AAAAACHL/0M=")</f>
        <v>#REF!</v>
      </c>
      <c r="BQ32" s="1" t="e">
        <f>AND(#REF!,"AAAAACHL/0Q=")</f>
        <v>#REF!</v>
      </c>
      <c r="BR32" s="1" t="e">
        <f>AND(#REF!,"AAAAACHL/0U=")</f>
        <v>#REF!</v>
      </c>
      <c r="BS32" s="1" t="e">
        <f>AND(#REF!,"AAAAACHL/0Y=")</f>
        <v>#REF!</v>
      </c>
      <c r="BT32" s="1" t="e">
        <f>AND(#REF!,"AAAAACHL/0c=")</f>
        <v>#REF!</v>
      </c>
      <c r="BU32" s="1" t="e">
        <f>AND(#REF!,"AAAAACHL/0g=")</f>
        <v>#REF!</v>
      </c>
      <c r="BV32" s="1" t="e">
        <f>AND(#REF!,"AAAAACHL/0k=")</f>
        <v>#REF!</v>
      </c>
      <c r="BW32" s="1" t="e">
        <f>AND(#REF!,"AAAAACHL/0o=")</f>
        <v>#REF!</v>
      </c>
      <c r="BX32" s="1" t="e">
        <f>AND(#REF!,"AAAAACHL/0s=")</f>
        <v>#REF!</v>
      </c>
      <c r="BY32" s="1" t="e">
        <f>AND(#REF!,"AAAAACHL/0w=")</f>
        <v>#REF!</v>
      </c>
      <c r="BZ32" s="1" t="e">
        <f>AND(#REF!,"AAAAACHL/00=")</f>
        <v>#REF!</v>
      </c>
      <c r="CA32" s="1" t="e">
        <f>AND(#REF!,"AAAAACHL/04=")</f>
        <v>#REF!</v>
      </c>
      <c r="CB32" s="1" t="e">
        <f>AND(#REF!,"AAAAACHL/08=")</f>
        <v>#REF!</v>
      </c>
      <c r="CC32" s="1" t="e">
        <f>AND(#REF!,"AAAAACHL/1A=")</f>
        <v>#REF!</v>
      </c>
      <c r="CD32" s="1" t="e">
        <f>AND(#REF!,"AAAAACHL/1E=")</f>
        <v>#REF!</v>
      </c>
      <c r="CE32" s="1" t="e">
        <f>AND(#REF!,"AAAAACHL/1I=")</f>
        <v>#REF!</v>
      </c>
      <c r="CF32" s="1" t="e">
        <f>AND(#REF!,"AAAAACHL/1M=")</f>
        <v>#REF!</v>
      </c>
      <c r="CG32" s="1" t="e">
        <f>AND(#REF!,"AAAAACHL/1Q=")</f>
        <v>#REF!</v>
      </c>
      <c r="CH32" s="1" t="e">
        <f>AND(#REF!,"AAAAACHL/1U=")</f>
        <v>#REF!</v>
      </c>
      <c r="CI32" s="1" t="e">
        <f>AND(#REF!,"AAAAACHL/1Y=")</f>
        <v>#REF!</v>
      </c>
      <c r="CJ32" s="1" t="e">
        <f>AND(#REF!,"AAAAACHL/1c=")</f>
        <v>#REF!</v>
      </c>
      <c r="CK32" s="1" t="e">
        <f>AND(#REF!,"AAAAACHL/1g=")</f>
        <v>#REF!</v>
      </c>
      <c r="CL32" s="1" t="e">
        <f>AND(#REF!,"AAAAACHL/1k=")</f>
        <v>#REF!</v>
      </c>
      <c r="CM32" s="1" t="e">
        <f>AND(#REF!,"AAAAACHL/1o=")</f>
        <v>#REF!</v>
      </c>
      <c r="CN32" s="1" t="e">
        <f>AND(#REF!,"AAAAACHL/1s=")</f>
        <v>#REF!</v>
      </c>
      <c r="CO32" s="1" t="e">
        <f>AND(#REF!,"AAAAACHL/1w=")</f>
        <v>#REF!</v>
      </c>
      <c r="CP32" s="1" t="e">
        <f>AND(#REF!,"AAAAACHL/10=")</f>
        <v>#REF!</v>
      </c>
      <c r="CQ32" s="1" t="e">
        <f>AND(#REF!,"AAAAACHL/14=")</f>
        <v>#REF!</v>
      </c>
      <c r="CR32" s="1" t="e">
        <f>AND(#REF!,"AAAAACHL/18=")</f>
        <v>#REF!</v>
      </c>
      <c r="CS32" s="1" t="e">
        <f>AND(#REF!,"AAAAACHL/2A=")</f>
        <v>#REF!</v>
      </c>
      <c r="CT32" s="1" t="e">
        <f>AND(#REF!,"AAAAACHL/2E=")</f>
        <v>#REF!</v>
      </c>
      <c r="CU32" s="1" t="e">
        <f>AND(#REF!,"AAAAACHL/2I=")</f>
        <v>#REF!</v>
      </c>
      <c r="CV32" s="1" t="e">
        <f>AND(#REF!,"AAAAACHL/2M=")</f>
        <v>#REF!</v>
      </c>
      <c r="CW32" s="1" t="e">
        <f>AND(#REF!,"AAAAACHL/2Q=")</f>
        <v>#REF!</v>
      </c>
      <c r="CX32" s="1" t="e">
        <f>AND(#REF!,"AAAAACHL/2U=")</f>
        <v>#REF!</v>
      </c>
      <c r="CY32" s="1" t="e">
        <f>AND(#REF!,"AAAAACHL/2Y=")</f>
        <v>#REF!</v>
      </c>
      <c r="CZ32" s="1" t="e">
        <f>AND(#REF!,"AAAAACHL/2c=")</f>
        <v>#REF!</v>
      </c>
      <c r="DA32" s="1" t="e">
        <f>AND(#REF!,"AAAAACHL/2g=")</f>
        <v>#REF!</v>
      </c>
      <c r="DB32" s="1" t="e">
        <f>AND(#REF!,"AAAAACHL/2k=")</f>
        <v>#REF!</v>
      </c>
      <c r="DC32" s="1" t="e">
        <f>AND(#REF!,"AAAAACHL/2o=")</f>
        <v>#REF!</v>
      </c>
      <c r="DD32" s="1" t="e">
        <f>AND(#REF!,"AAAAACHL/2s=")</f>
        <v>#REF!</v>
      </c>
      <c r="DE32" s="1" t="e">
        <f>AND(#REF!,"AAAAACHL/2w=")</f>
        <v>#REF!</v>
      </c>
      <c r="DF32" s="1" t="e">
        <f>AND(#REF!,"AAAAACHL/20=")</f>
        <v>#REF!</v>
      </c>
      <c r="DG32" s="1" t="e">
        <f>AND(#REF!,"AAAAACHL/24=")</f>
        <v>#REF!</v>
      </c>
      <c r="DH32" s="1" t="e">
        <f>AND(#REF!,"AAAAACHL/28=")</f>
        <v>#REF!</v>
      </c>
      <c r="DI32" s="1" t="e">
        <f>AND(#REF!,"AAAAACHL/3A=")</f>
        <v>#REF!</v>
      </c>
      <c r="DJ32" s="1" t="e">
        <f>AND(#REF!,"AAAAACHL/3E=")</f>
        <v>#REF!</v>
      </c>
      <c r="DK32" s="1" t="e">
        <f>AND(#REF!,"AAAAACHL/3I=")</f>
        <v>#REF!</v>
      </c>
      <c r="DL32" s="1" t="e">
        <f>AND(#REF!,"AAAAACHL/3M=")</f>
        <v>#REF!</v>
      </c>
      <c r="DM32" s="1" t="e">
        <f>AND(#REF!,"AAAAACHL/3Q=")</f>
        <v>#REF!</v>
      </c>
      <c r="DN32" s="1" t="e">
        <f>AND(#REF!,"AAAAACHL/3U=")</f>
        <v>#REF!</v>
      </c>
      <c r="DO32" s="1" t="e">
        <f>AND(#REF!,"AAAAACHL/3Y=")</f>
        <v>#REF!</v>
      </c>
      <c r="DP32" s="1" t="e">
        <f>AND(#REF!,"AAAAACHL/3c=")</f>
        <v>#REF!</v>
      </c>
      <c r="DQ32" s="1" t="e">
        <f>AND(#REF!,"AAAAACHL/3g=")</f>
        <v>#REF!</v>
      </c>
      <c r="DR32" s="1" t="e">
        <f>AND(#REF!,"AAAAACHL/3k=")</f>
        <v>#REF!</v>
      </c>
      <c r="DS32" s="1" t="e">
        <f>AND(#REF!,"AAAAACHL/3o=")</f>
        <v>#REF!</v>
      </c>
      <c r="DT32" s="1" t="e">
        <f>AND(#REF!,"AAAAACHL/3s=")</f>
        <v>#REF!</v>
      </c>
      <c r="DU32" s="1" t="e">
        <f>AND(#REF!,"AAAAACHL/3w=")</f>
        <v>#REF!</v>
      </c>
      <c r="DV32" s="1" t="e">
        <f>AND(#REF!,"AAAAACHL/30=")</f>
        <v>#REF!</v>
      </c>
      <c r="DW32" s="1" t="e">
        <f>AND(#REF!,"AAAAACHL/34=")</f>
        <v>#REF!</v>
      </c>
      <c r="DX32" s="1" t="e">
        <f>AND(#REF!,"AAAAACHL/38=")</f>
        <v>#REF!</v>
      </c>
      <c r="DY32" s="1" t="e">
        <f>AND(#REF!,"AAAAACHL/4A=")</f>
        <v>#REF!</v>
      </c>
      <c r="DZ32" s="1" t="e">
        <f>AND(#REF!,"AAAAACHL/4E=")</f>
        <v>#REF!</v>
      </c>
      <c r="EA32" s="1" t="e">
        <f>AND(#REF!,"AAAAACHL/4I=")</f>
        <v>#REF!</v>
      </c>
      <c r="EB32" s="1" t="e">
        <f>AND(#REF!,"AAAAACHL/4M=")</f>
        <v>#REF!</v>
      </c>
      <c r="EC32" s="1" t="e">
        <f>AND(#REF!,"AAAAACHL/4Q=")</f>
        <v>#REF!</v>
      </c>
      <c r="ED32" s="1" t="e">
        <f>AND(#REF!,"AAAAACHL/4U=")</f>
        <v>#REF!</v>
      </c>
      <c r="EE32" s="1" t="e">
        <f>AND(#REF!,"AAAAACHL/4Y=")</f>
        <v>#REF!</v>
      </c>
      <c r="EF32" s="1" t="e">
        <f>AND(#REF!,"AAAAACHL/4c=")</f>
        <v>#REF!</v>
      </c>
      <c r="EG32" s="1" t="e">
        <f>AND(#REF!,"AAAAACHL/4g=")</f>
        <v>#REF!</v>
      </c>
      <c r="EH32" s="1" t="e">
        <f>AND(#REF!,"AAAAACHL/4k=")</f>
        <v>#REF!</v>
      </c>
      <c r="EI32" s="1" t="e">
        <f>AND(#REF!,"AAAAACHL/4o=")</f>
        <v>#REF!</v>
      </c>
      <c r="EJ32" s="1" t="e">
        <f>AND(#REF!,"AAAAACHL/4s=")</f>
        <v>#REF!</v>
      </c>
      <c r="EK32" s="1" t="e">
        <f>AND(#REF!,"AAAAACHL/4w=")</f>
        <v>#REF!</v>
      </c>
      <c r="EL32" s="1" t="e">
        <f>AND(#REF!,"AAAAACHL/40=")</f>
        <v>#REF!</v>
      </c>
      <c r="EM32" s="1" t="e">
        <f>AND(#REF!,"AAAAACHL/44=")</f>
        <v>#REF!</v>
      </c>
      <c r="EN32" s="1" t="e">
        <f>AND(#REF!,"AAAAACHL/48=")</f>
        <v>#REF!</v>
      </c>
      <c r="EO32" s="1" t="e">
        <f>AND(#REF!,"AAAAACHL/5A=")</f>
        <v>#REF!</v>
      </c>
      <c r="EP32" s="1" t="e">
        <f>AND(#REF!,"AAAAACHL/5E=")</f>
        <v>#REF!</v>
      </c>
      <c r="EQ32" s="1" t="e">
        <f>AND(#REF!,"AAAAACHL/5I=")</f>
        <v>#REF!</v>
      </c>
      <c r="ER32" s="1" t="e">
        <f>AND(#REF!,"AAAAACHL/5M=")</f>
        <v>#REF!</v>
      </c>
      <c r="ES32" s="1" t="e">
        <f>AND(#REF!,"AAAAACHL/5Q=")</f>
        <v>#REF!</v>
      </c>
      <c r="ET32" s="1" t="e">
        <f>AND(#REF!,"AAAAACHL/5U=")</f>
        <v>#REF!</v>
      </c>
      <c r="EU32" s="1" t="e">
        <f>AND(#REF!,"AAAAACHL/5Y=")</f>
        <v>#REF!</v>
      </c>
      <c r="EV32" s="1" t="e">
        <f>AND(#REF!,"AAAAACHL/5c=")</f>
        <v>#REF!</v>
      </c>
      <c r="EW32" s="1" t="e">
        <f>IF(#REF!,"AAAAACHL/5g=",0)</f>
        <v>#REF!</v>
      </c>
      <c r="EX32" s="1" t="e">
        <f>AND(#REF!,"AAAAACHL/5k=")</f>
        <v>#REF!</v>
      </c>
      <c r="EY32" s="1" t="e">
        <f>AND(#REF!,"AAAAACHL/5o=")</f>
        <v>#REF!</v>
      </c>
      <c r="EZ32" s="1" t="e">
        <f>AND(#REF!,"AAAAACHL/5s=")</f>
        <v>#REF!</v>
      </c>
      <c r="FA32" s="1" t="e">
        <f>AND(#REF!,"AAAAACHL/5w=")</f>
        <v>#REF!</v>
      </c>
      <c r="FB32" s="1" t="e">
        <f>AND(#REF!,"AAAAACHL/50=")</f>
        <v>#REF!</v>
      </c>
      <c r="FC32" s="1" t="e">
        <f>AND(#REF!,"AAAAACHL/54=")</f>
        <v>#REF!</v>
      </c>
      <c r="FD32" s="1" t="e">
        <f>AND(#REF!,"AAAAACHL/58=")</f>
        <v>#REF!</v>
      </c>
      <c r="FE32" s="1" t="e">
        <f>AND(#REF!,"AAAAACHL/6A=")</f>
        <v>#REF!</v>
      </c>
      <c r="FF32" s="1" t="e">
        <f>AND(#REF!,"AAAAACHL/6E=")</f>
        <v>#REF!</v>
      </c>
      <c r="FG32" s="1" t="e">
        <f>AND(#REF!,"AAAAACHL/6I=")</f>
        <v>#REF!</v>
      </c>
      <c r="FH32" s="1" t="e">
        <f>AND(#REF!,"AAAAACHL/6M=")</f>
        <v>#REF!</v>
      </c>
      <c r="FI32" s="1" t="e">
        <f>AND(#REF!,"AAAAACHL/6Q=")</f>
        <v>#REF!</v>
      </c>
      <c r="FJ32" s="1" t="e">
        <f>AND(#REF!,"AAAAACHL/6U=")</f>
        <v>#REF!</v>
      </c>
      <c r="FK32" s="1" t="e">
        <f>AND(#REF!,"AAAAACHL/6Y=")</f>
        <v>#REF!</v>
      </c>
      <c r="FL32" s="1" t="e">
        <f>AND(#REF!,"AAAAACHL/6c=")</f>
        <v>#REF!</v>
      </c>
      <c r="FM32" s="1" t="e">
        <f>AND(#REF!,"AAAAACHL/6g=")</f>
        <v>#REF!</v>
      </c>
      <c r="FN32" s="1" t="e">
        <f>AND(#REF!,"AAAAACHL/6k=")</f>
        <v>#REF!</v>
      </c>
      <c r="FO32" s="1" t="e">
        <f>AND(#REF!,"AAAAACHL/6o=")</f>
        <v>#REF!</v>
      </c>
      <c r="FP32" s="1" t="e">
        <f>AND(#REF!,"AAAAACHL/6s=")</f>
        <v>#REF!</v>
      </c>
      <c r="FQ32" s="1" t="e">
        <f>AND(#REF!,"AAAAACHL/6w=")</f>
        <v>#REF!</v>
      </c>
      <c r="FR32" s="1" t="e">
        <f>AND(#REF!,"AAAAACHL/60=")</f>
        <v>#REF!</v>
      </c>
      <c r="FS32" s="1" t="e">
        <f>AND(#REF!,"AAAAACHL/64=")</f>
        <v>#REF!</v>
      </c>
      <c r="FT32" s="1" t="e">
        <f>AND(#REF!,"AAAAACHL/68=")</f>
        <v>#REF!</v>
      </c>
      <c r="FU32" s="1" t="e">
        <f>AND(#REF!,"AAAAACHL/7A=")</f>
        <v>#REF!</v>
      </c>
      <c r="FV32" s="1" t="e">
        <f>AND(#REF!,"AAAAACHL/7E=")</f>
        <v>#REF!</v>
      </c>
      <c r="FW32" s="1" t="e">
        <f>AND(#REF!,"AAAAACHL/7I=")</f>
        <v>#REF!</v>
      </c>
      <c r="FX32" s="1" t="e">
        <f>AND(#REF!,"AAAAACHL/7M=")</f>
        <v>#REF!</v>
      </c>
      <c r="FY32" s="1" t="e">
        <f>AND(#REF!,"AAAAACHL/7Q=")</f>
        <v>#REF!</v>
      </c>
      <c r="FZ32" s="1" t="e">
        <f>AND(#REF!,"AAAAACHL/7U=")</f>
        <v>#REF!</v>
      </c>
      <c r="GA32" s="1" t="e">
        <f>AND(#REF!,"AAAAACHL/7Y=")</f>
        <v>#REF!</v>
      </c>
      <c r="GB32" s="1" t="e">
        <f>AND(#REF!,"AAAAACHL/7c=")</f>
        <v>#REF!</v>
      </c>
      <c r="GC32" s="1" t="e">
        <f>AND(#REF!,"AAAAACHL/7g=")</f>
        <v>#REF!</v>
      </c>
      <c r="GD32" s="1" t="e">
        <f>AND(#REF!,"AAAAACHL/7k=")</f>
        <v>#REF!</v>
      </c>
      <c r="GE32" s="1" t="e">
        <f>AND(#REF!,"AAAAACHL/7o=")</f>
        <v>#REF!</v>
      </c>
      <c r="GF32" s="1" t="e">
        <f>AND(#REF!,"AAAAACHL/7s=")</f>
        <v>#REF!</v>
      </c>
      <c r="GG32" s="1" t="e">
        <f>AND(#REF!,"AAAAACHL/7w=")</f>
        <v>#REF!</v>
      </c>
      <c r="GH32" s="1" t="e">
        <f>AND(#REF!,"AAAAACHL/70=")</f>
        <v>#REF!</v>
      </c>
      <c r="GI32" s="1" t="e">
        <f>AND(#REF!,"AAAAACHL/74=")</f>
        <v>#REF!</v>
      </c>
      <c r="GJ32" s="1" t="e">
        <f>AND(#REF!,"AAAAACHL/78=")</f>
        <v>#REF!</v>
      </c>
      <c r="GK32" s="1" t="e">
        <f>AND(#REF!,"AAAAACHL/8A=")</f>
        <v>#REF!</v>
      </c>
      <c r="GL32" s="1" t="e">
        <f>AND(#REF!,"AAAAACHL/8E=")</f>
        <v>#REF!</v>
      </c>
      <c r="GM32" s="1" t="e">
        <f>AND(#REF!,"AAAAACHL/8I=")</f>
        <v>#REF!</v>
      </c>
      <c r="GN32" s="1" t="e">
        <f>AND(#REF!,"AAAAACHL/8M=")</f>
        <v>#REF!</v>
      </c>
      <c r="GO32" s="1" t="e">
        <f>AND(#REF!,"AAAAACHL/8Q=")</f>
        <v>#REF!</v>
      </c>
      <c r="GP32" s="1" t="e">
        <f>AND(#REF!,"AAAAACHL/8U=")</f>
        <v>#REF!</v>
      </c>
      <c r="GQ32" s="1" t="e">
        <f>AND(#REF!,"AAAAACHL/8Y=")</f>
        <v>#REF!</v>
      </c>
      <c r="GR32" s="1" t="e">
        <f>AND(#REF!,"AAAAACHL/8c=")</f>
        <v>#REF!</v>
      </c>
      <c r="GS32" s="1" t="e">
        <f>AND(#REF!,"AAAAACHL/8g=")</f>
        <v>#REF!</v>
      </c>
      <c r="GT32" s="1" t="e">
        <f>AND(#REF!,"AAAAACHL/8k=")</f>
        <v>#REF!</v>
      </c>
      <c r="GU32" s="1" t="e">
        <f>AND(#REF!,"AAAAACHL/8o=")</f>
        <v>#REF!</v>
      </c>
      <c r="GV32" s="1" t="e">
        <f>AND(#REF!,"AAAAACHL/8s=")</f>
        <v>#REF!</v>
      </c>
      <c r="GW32" s="1" t="e">
        <f>AND(#REF!,"AAAAACHL/8w=")</f>
        <v>#REF!</v>
      </c>
      <c r="GX32" s="1" t="e">
        <f>AND(#REF!,"AAAAACHL/80=")</f>
        <v>#REF!</v>
      </c>
      <c r="GY32" s="1" t="e">
        <f>AND(#REF!,"AAAAACHL/84=")</f>
        <v>#REF!</v>
      </c>
      <c r="GZ32" s="1" t="e">
        <f>AND(#REF!,"AAAAACHL/88=")</f>
        <v>#REF!</v>
      </c>
      <c r="HA32" s="1" t="e">
        <f>AND(#REF!,"AAAAACHL/9A=")</f>
        <v>#REF!</v>
      </c>
      <c r="HB32" s="1" t="e">
        <f>AND(#REF!,"AAAAACHL/9E=")</f>
        <v>#REF!</v>
      </c>
      <c r="HC32" s="1" t="e">
        <f>AND(#REF!,"AAAAACHL/9I=")</f>
        <v>#REF!</v>
      </c>
      <c r="HD32" s="1" t="e">
        <f>AND(#REF!,"AAAAACHL/9M=")</f>
        <v>#REF!</v>
      </c>
      <c r="HE32" s="1" t="e">
        <f>AND(#REF!,"AAAAACHL/9Q=")</f>
        <v>#REF!</v>
      </c>
      <c r="HF32" s="1" t="e">
        <f>AND(#REF!,"AAAAACHL/9U=")</f>
        <v>#REF!</v>
      </c>
      <c r="HG32" s="1" t="e">
        <f>AND(#REF!,"AAAAACHL/9Y=")</f>
        <v>#REF!</v>
      </c>
      <c r="HH32" s="1" t="e">
        <f>AND(#REF!,"AAAAACHL/9c=")</f>
        <v>#REF!</v>
      </c>
      <c r="HI32" s="1" t="e">
        <f>AND(#REF!,"AAAAACHL/9g=")</f>
        <v>#REF!</v>
      </c>
      <c r="HJ32" s="1" t="e">
        <f>AND(#REF!,"AAAAACHL/9k=")</f>
        <v>#REF!</v>
      </c>
      <c r="HK32" s="1" t="e">
        <f>AND(#REF!,"AAAAACHL/9o=")</f>
        <v>#REF!</v>
      </c>
      <c r="HL32" s="1" t="e">
        <f>AND(#REF!,"AAAAACHL/9s=")</f>
        <v>#REF!</v>
      </c>
      <c r="HM32" s="1" t="e">
        <f>AND(#REF!,"AAAAACHL/9w=")</f>
        <v>#REF!</v>
      </c>
      <c r="HN32" s="1" t="e">
        <f>AND(#REF!,"AAAAACHL/90=")</f>
        <v>#REF!</v>
      </c>
      <c r="HO32" s="1" t="e">
        <f>AND(#REF!,"AAAAACHL/94=")</f>
        <v>#REF!</v>
      </c>
      <c r="HP32" s="1" t="e">
        <f>AND(#REF!,"AAAAACHL/98=")</f>
        <v>#REF!</v>
      </c>
      <c r="HQ32" s="1" t="e">
        <f>AND(#REF!,"AAAAACHL/+A=")</f>
        <v>#REF!</v>
      </c>
      <c r="HR32" s="1" t="e">
        <f>AND(#REF!,"AAAAACHL/+E=")</f>
        <v>#REF!</v>
      </c>
      <c r="HS32" s="1" t="e">
        <f>AND(#REF!,"AAAAACHL/+I=")</f>
        <v>#REF!</v>
      </c>
      <c r="HT32" s="1" t="e">
        <f>AND(#REF!,"AAAAACHL/+M=")</f>
        <v>#REF!</v>
      </c>
      <c r="HU32" s="1" t="e">
        <f>AND(#REF!,"AAAAACHL/+Q=")</f>
        <v>#REF!</v>
      </c>
      <c r="HV32" s="1" t="e">
        <f>AND(#REF!,"AAAAACHL/+U=")</f>
        <v>#REF!</v>
      </c>
      <c r="HW32" s="1" t="e">
        <f>AND(#REF!,"AAAAACHL/+Y=")</f>
        <v>#REF!</v>
      </c>
      <c r="HX32" s="1" t="e">
        <f>AND(#REF!,"AAAAACHL/+c=")</f>
        <v>#REF!</v>
      </c>
      <c r="HY32" s="1" t="e">
        <f>AND(#REF!,"AAAAACHL/+g=")</f>
        <v>#REF!</v>
      </c>
      <c r="HZ32" s="1" t="e">
        <f>AND(#REF!,"AAAAACHL/+k=")</f>
        <v>#REF!</v>
      </c>
      <c r="IA32" s="1" t="e">
        <f>AND(#REF!,"AAAAACHL/+o=")</f>
        <v>#REF!</v>
      </c>
      <c r="IB32" s="1" t="e">
        <f>AND(#REF!,"AAAAACHL/+s=")</f>
        <v>#REF!</v>
      </c>
      <c r="IC32" s="1" t="e">
        <f>AND(#REF!,"AAAAACHL/+w=")</f>
        <v>#REF!</v>
      </c>
      <c r="ID32" s="1" t="e">
        <f>AND(#REF!,"AAAAACHL/+0=")</f>
        <v>#REF!</v>
      </c>
      <c r="IE32" s="1" t="e">
        <f>AND(#REF!,"AAAAACHL/+4=")</f>
        <v>#REF!</v>
      </c>
      <c r="IF32" s="1" t="e">
        <f>AND(#REF!,"AAAAACHL/+8=")</f>
        <v>#REF!</v>
      </c>
      <c r="IG32" s="1" t="e">
        <f>AND(#REF!,"AAAAACHL//A=")</f>
        <v>#REF!</v>
      </c>
      <c r="IH32" s="1" t="e">
        <f>AND(#REF!,"AAAAACHL//E=")</f>
        <v>#REF!</v>
      </c>
      <c r="II32" s="1" t="e">
        <f>AND(#REF!,"AAAAACHL//I=")</f>
        <v>#REF!</v>
      </c>
      <c r="IJ32" s="1" t="e">
        <f>AND(#REF!,"AAAAACHL//M=")</f>
        <v>#REF!</v>
      </c>
      <c r="IK32" s="1" t="e">
        <f>AND(#REF!,"AAAAACHL//Q=")</f>
        <v>#REF!</v>
      </c>
      <c r="IL32" s="1" t="e">
        <f>AND(#REF!,"AAAAACHL//U=")</f>
        <v>#REF!</v>
      </c>
      <c r="IM32" s="1" t="e">
        <f>AND(#REF!,"AAAAACHL//Y=")</f>
        <v>#REF!</v>
      </c>
      <c r="IN32" s="1" t="e">
        <f>AND(#REF!,"AAAAACHL//c=")</f>
        <v>#REF!</v>
      </c>
      <c r="IO32" s="1" t="e">
        <f>AND(#REF!,"AAAAACHL//g=")</f>
        <v>#REF!</v>
      </c>
      <c r="IP32" s="1" t="e">
        <f>AND(#REF!,"AAAAACHL//k=")</f>
        <v>#REF!</v>
      </c>
      <c r="IQ32" s="1" t="e">
        <f>AND(#REF!,"AAAAACHL//o=")</f>
        <v>#REF!</v>
      </c>
      <c r="IR32" s="1" t="e">
        <f>AND(#REF!,"AAAAACHL//s=")</f>
        <v>#REF!</v>
      </c>
      <c r="IS32" s="1" t="e">
        <f>AND(#REF!,"AAAAACHL//w=")</f>
        <v>#REF!</v>
      </c>
      <c r="IT32" s="1" t="e">
        <f>AND(#REF!,"AAAAACHL//0=")</f>
        <v>#REF!</v>
      </c>
      <c r="IU32" s="1" t="e">
        <f>AND(#REF!,"AAAAACHL//4=")</f>
        <v>#REF!</v>
      </c>
      <c r="IV32" s="1" t="e">
        <f>IF(#REF!,"AAAAACHL//8=",0)</f>
        <v>#REF!</v>
      </c>
    </row>
    <row r="33" spans="1:256" ht="15" customHeight="1" x14ac:dyDescent="0.2">
      <c r="A33" s="1" t="e">
        <f>AND(#REF!,"AAAAAC/hvgA=")</f>
        <v>#REF!</v>
      </c>
      <c r="B33" s="1" t="e">
        <f>AND(#REF!,"AAAAAC/hvgE=")</f>
        <v>#REF!</v>
      </c>
      <c r="C33" s="1" t="e">
        <f>AND(#REF!,"AAAAAC/hvgI=")</f>
        <v>#REF!</v>
      </c>
      <c r="D33" s="1" t="e">
        <f>AND(#REF!,"AAAAAC/hvgM=")</f>
        <v>#REF!</v>
      </c>
      <c r="E33" s="1" t="e">
        <f>AND(#REF!,"AAAAAC/hvgQ=")</f>
        <v>#REF!</v>
      </c>
      <c r="F33" s="1" t="e">
        <f>AND(#REF!,"AAAAAC/hvgU=")</f>
        <v>#REF!</v>
      </c>
      <c r="G33" s="1" t="e">
        <f>AND(#REF!,"AAAAAC/hvgY=")</f>
        <v>#REF!</v>
      </c>
      <c r="H33" s="1" t="e">
        <f>AND(#REF!,"AAAAAC/hvgc=")</f>
        <v>#REF!</v>
      </c>
      <c r="I33" s="1" t="e">
        <f>AND(#REF!,"AAAAAC/hvgg=")</f>
        <v>#REF!</v>
      </c>
      <c r="J33" s="1" t="e">
        <f>AND(#REF!,"AAAAAC/hvgk=")</f>
        <v>#REF!</v>
      </c>
      <c r="K33" s="1" t="e">
        <f>AND(#REF!,"AAAAAC/hvgo=")</f>
        <v>#REF!</v>
      </c>
      <c r="L33" s="1" t="e">
        <f>AND(#REF!,"AAAAAC/hvgs=")</f>
        <v>#REF!</v>
      </c>
      <c r="M33" s="1" t="e">
        <f>AND(#REF!,"AAAAAC/hvgw=")</f>
        <v>#REF!</v>
      </c>
      <c r="N33" s="1" t="e">
        <f>AND(#REF!,"AAAAAC/hvg0=")</f>
        <v>#REF!</v>
      </c>
      <c r="O33" s="1" t="e">
        <f>AND(#REF!,"AAAAAC/hvg4=")</f>
        <v>#REF!</v>
      </c>
      <c r="P33" s="1" t="e">
        <f>AND(#REF!,"AAAAAC/hvg8=")</f>
        <v>#REF!</v>
      </c>
      <c r="Q33" s="1" t="e">
        <f>AND(#REF!,"AAAAAC/hvhA=")</f>
        <v>#REF!</v>
      </c>
      <c r="R33" s="1" t="e">
        <f>AND(#REF!,"AAAAAC/hvhE=")</f>
        <v>#REF!</v>
      </c>
      <c r="S33" s="1" t="e">
        <f>AND(#REF!,"AAAAAC/hvhI=")</f>
        <v>#REF!</v>
      </c>
      <c r="T33" s="1" t="e">
        <f>AND(#REF!,"AAAAAC/hvhM=")</f>
        <v>#REF!</v>
      </c>
      <c r="U33" s="1" t="e">
        <f>AND(#REF!,"AAAAAC/hvhQ=")</f>
        <v>#REF!</v>
      </c>
      <c r="V33" s="1" t="e">
        <f>AND(#REF!,"AAAAAC/hvhU=")</f>
        <v>#REF!</v>
      </c>
      <c r="W33" s="1" t="e">
        <f>AND(#REF!,"AAAAAC/hvhY=")</f>
        <v>#REF!</v>
      </c>
      <c r="X33" s="1" t="e">
        <f>AND(#REF!,"AAAAAC/hvhc=")</f>
        <v>#REF!</v>
      </c>
      <c r="Y33" s="1" t="e">
        <f>AND(#REF!,"AAAAAC/hvhg=")</f>
        <v>#REF!</v>
      </c>
      <c r="Z33" s="1" t="e">
        <f>AND(#REF!,"AAAAAC/hvhk=")</f>
        <v>#REF!</v>
      </c>
      <c r="AA33" s="1" t="e">
        <f>AND(#REF!,"AAAAAC/hvho=")</f>
        <v>#REF!</v>
      </c>
      <c r="AB33" s="1" t="e">
        <f>AND(#REF!,"AAAAAC/hvhs=")</f>
        <v>#REF!</v>
      </c>
      <c r="AC33" s="1" t="e">
        <f>AND(#REF!,"AAAAAC/hvhw=")</f>
        <v>#REF!</v>
      </c>
      <c r="AD33" s="1" t="e">
        <f>AND(#REF!,"AAAAAC/hvh0=")</f>
        <v>#REF!</v>
      </c>
      <c r="AE33" s="1" t="e">
        <f>AND(#REF!,"AAAAAC/hvh4=")</f>
        <v>#REF!</v>
      </c>
      <c r="AF33" s="1" t="e">
        <f>AND(#REF!,"AAAAAC/hvh8=")</f>
        <v>#REF!</v>
      </c>
      <c r="AG33" s="1" t="e">
        <f>AND(#REF!,"AAAAAC/hviA=")</f>
        <v>#REF!</v>
      </c>
      <c r="AH33" s="1" t="e">
        <f>AND(#REF!,"AAAAAC/hviE=")</f>
        <v>#REF!</v>
      </c>
      <c r="AI33" s="1" t="e">
        <f>AND(#REF!,"AAAAAC/hviI=")</f>
        <v>#REF!</v>
      </c>
      <c r="AJ33" s="1" t="e">
        <f>AND(#REF!,"AAAAAC/hviM=")</f>
        <v>#REF!</v>
      </c>
      <c r="AK33" s="1" t="e">
        <f>AND(#REF!,"AAAAAC/hviQ=")</f>
        <v>#REF!</v>
      </c>
      <c r="AL33" s="1" t="e">
        <f>AND(#REF!,"AAAAAC/hviU=")</f>
        <v>#REF!</v>
      </c>
      <c r="AM33" s="1" t="e">
        <f>AND(#REF!,"AAAAAC/hviY=")</f>
        <v>#REF!</v>
      </c>
      <c r="AN33" s="1" t="e">
        <f>AND(#REF!,"AAAAAC/hvic=")</f>
        <v>#REF!</v>
      </c>
      <c r="AO33" s="1" t="e">
        <f>AND(#REF!,"AAAAAC/hvig=")</f>
        <v>#REF!</v>
      </c>
      <c r="AP33" s="1" t="e">
        <f>AND(#REF!,"AAAAAC/hvik=")</f>
        <v>#REF!</v>
      </c>
      <c r="AQ33" s="1" t="e">
        <f>AND(#REF!,"AAAAAC/hvio=")</f>
        <v>#REF!</v>
      </c>
      <c r="AR33" s="1" t="e">
        <f>AND(#REF!,"AAAAAC/hvis=")</f>
        <v>#REF!</v>
      </c>
      <c r="AS33" s="1" t="e">
        <f>AND(#REF!,"AAAAAC/hviw=")</f>
        <v>#REF!</v>
      </c>
      <c r="AT33" s="1" t="e">
        <f>AND(#REF!,"AAAAAC/hvi0=")</f>
        <v>#REF!</v>
      </c>
      <c r="AU33" s="1" t="e">
        <f>AND(#REF!,"AAAAAC/hvi4=")</f>
        <v>#REF!</v>
      </c>
      <c r="AV33" s="1" t="e">
        <f>AND(#REF!,"AAAAAC/hvi8=")</f>
        <v>#REF!</v>
      </c>
      <c r="AW33" s="1" t="e">
        <f>AND(#REF!,"AAAAAC/hvjA=")</f>
        <v>#REF!</v>
      </c>
      <c r="AX33" s="1" t="e">
        <f>AND(#REF!,"AAAAAC/hvjE=")</f>
        <v>#REF!</v>
      </c>
      <c r="AY33" s="1" t="e">
        <f>AND(#REF!,"AAAAAC/hvjI=")</f>
        <v>#REF!</v>
      </c>
      <c r="AZ33" s="1" t="e">
        <f>AND(#REF!,"AAAAAC/hvjM=")</f>
        <v>#REF!</v>
      </c>
      <c r="BA33" s="1" t="e">
        <f>AND(#REF!,"AAAAAC/hvjQ=")</f>
        <v>#REF!</v>
      </c>
      <c r="BB33" s="1" t="e">
        <f>AND(#REF!,"AAAAAC/hvjU=")</f>
        <v>#REF!</v>
      </c>
      <c r="BC33" s="1" t="e">
        <f>AND(#REF!,"AAAAAC/hvjY=")</f>
        <v>#REF!</v>
      </c>
      <c r="BD33" s="1" t="e">
        <f>AND(#REF!,"AAAAAC/hvjc=")</f>
        <v>#REF!</v>
      </c>
      <c r="BE33" s="1" t="e">
        <f>AND(#REF!,"AAAAAC/hvjg=")</f>
        <v>#REF!</v>
      </c>
      <c r="BF33" s="1" t="e">
        <f>AND(#REF!,"AAAAAC/hvjk=")</f>
        <v>#REF!</v>
      </c>
      <c r="BG33" s="1" t="e">
        <f>AND(#REF!,"AAAAAC/hvjo=")</f>
        <v>#REF!</v>
      </c>
      <c r="BH33" s="1" t="e">
        <f>AND(#REF!,"AAAAAC/hvjs=")</f>
        <v>#REF!</v>
      </c>
      <c r="BI33" s="1" t="e">
        <f>AND(#REF!,"AAAAAC/hvjw=")</f>
        <v>#REF!</v>
      </c>
      <c r="BJ33" s="1" t="e">
        <f>AND(#REF!,"AAAAAC/hvj0=")</f>
        <v>#REF!</v>
      </c>
      <c r="BK33" s="1" t="e">
        <f>AND(#REF!,"AAAAAC/hvj4=")</f>
        <v>#REF!</v>
      </c>
      <c r="BL33" s="1" t="e">
        <f>AND(#REF!,"AAAAAC/hvj8=")</f>
        <v>#REF!</v>
      </c>
      <c r="BM33" s="1" t="e">
        <f>AND(#REF!,"AAAAAC/hvkA=")</f>
        <v>#REF!</v>
      </c>
      <c r="BN33" s="1" t="e">
        <f>AND(#REF!,"AAAAAC/hvkE=")</f>
        <v>#REF!</v>
      </c>
      <c r="BO33" s="1" t="e">
        <f>AND(#REF!,"AAAAAC/hvkI=")</f>
        <v>#REF!</v>
      </c>
      <c r="BP33" s="1" t="e">
        <f>AND(#REF!,"AAAAAC/hvkM=")</f>
        <v>#REF!</v>
      </c>
      <c r="BQ33" s="1" t="e">
        <f>AND(#REF!,"AAAAAC/hvkQ=")</f>
        <v>#REF!</v>
      </c>
      <c r="BR33" s="1" t="e">
        <f>AND(#REF!,"AAAAAC/hvkU=")</f>
        <v>#REF!</v>
      </c>
      <c r="BS33" s="1" t="e">
        <f>AND(#REF!,"AAAAAC/hvkY=")</f>
        <v>#REF!</v>
      </c>
      <c r="BT33" s="1" t="e">
        <f>AND(#REF!,"AAAAAC/hvkc=")</f>
        <v>#REF!</v>
      </c>
      <c r="BU33" s="1" t="e">
        <f>AND(#REF!,"AAAAAC/hvkg=")</f>
        <v>#REF!</v>
      </c>
      <c r="BV33" s="1" t="e">
        <f>AND(#REF!,"AAAAAC/hvkk=")</f>
        <v>#REF!</v>
      </c>
      <c r="BW33" s="1" t="e">
        <f>AND(#REF!,"AAAAAC/hvko=")</f>
        <v>#REF!</v>
      </c>
      <c r="BX33" s="1" t="e">
        <f>AND(#REF!,"AAAAAC/hvks=")</f>
        <v>#REF!</v>
      </c>
      <c r="BY33" s="1" t="e">
        <f>AND(#REF!,"AAAAAC/hvkw=")</f>
        <v>#REF!</v>
      </c>
      <c r="BZ33" s="1" t="e">
        <f>AND(#REF!,"AAAAAC/hvk0=")</f>
        <v>#REF!</v>
      </c>
      <c r="CA33" s="1" t="e">
        <f>AND(#REF!,"AAAAAC/hvk4=")</f>
        <v>#REF!</v>
      </c>
      <c r="CB33" s="1" t="e">
        <f>AND(#REF!,"AAAAAC/hvk8=")</f>
        <v>#REF!</v>
      </c>
      <c r="CC33" s="1" t="e">
        <f>AND(#REF!,"AAAAAC/hvlA=")</f>
        <v>#REF!</v>
      </c>
      <c r="CD33" s="1" t="e">
        <f>AND(#REF!,"AAAAAC/hvlE=")</f>
        <v>#REF!</v>
      </c>
      <c r="CE33" s="1" t="e">
        <f>AND(#REF!,"AAAAAC/hvlI=")</f>
        <v>#REF!</v>
      </c>
      <c r="CF33" s="1" t="e">
        <f>AND(#REF!,"AAAAAC/hvlM=")</f>
        <v>#REF!</v>
      </c>
      <c r="CG33" s="1" t="e">
        <f>AND(#REF!,"AAAAAC/hvlQ=")</f>
        <v>#REF!</v>
      </c>
      <c r="CH33" s="1" t="e">
        <f>AND(#REF!,"AAAAAC/hvlU=")</f>
        <v>#REF!</v>
      </c>
      <c r="CI33" s="1" t="e">
        <f>AND(#REF!,"AAAAAC/hvlY=")</f>
        <v>#REF!</v>
      </c>
      <c r="CJ33" s="1" t="e">
        <f>AND(#REF!,"AAAAAC/hvlc=")</f>
        <v>#REF!</v>
      </c>
      <c r="CK33" s="1" t="e">
        <f>AND(#REF!,"AAAAAC/hvlg=")</f>
        <v>#REF!</v>
      </c>
      <c r="CL33" s="1" t="e">
        <f>AND(#REF!,"AAAAAC/hvlk=")</f>
        <v>#REF!</v>
      </c>
      <c r="CM33" s="1" t="e">
        <f>AND(#REF!,"AAAAAC/hvlo=")</f>
        <v>#REF!</v>
      </c>
      <c r="CN33" s="1" t="e">
        <f>AND(#REF!,"AAAAAC/hvls=")</f>
        <v>#REF!</v>
      </c>
      <c r="CO33" s="1" t="e">
        <f>AND(#REF!,"AAAAAC/hvlw=")</f>
        <v>#REF!</v>
      </c>
      <c r="CP33" s="1" t="e">
        <f>AND(#REF!,"AAAAAC/hvl0=")</f>
        <v>#REF!</v>
      </c>
      <c r="CQ33" s="1" t="e">
        <f>AND(#REF!,"AAAAAC/hvl4=")</f>
        <v>#REF!</v>
      </c>
      <c r="CR33" s="1" t="e">
        <f>AND(#REF!,"AAAAAC/hvl8=")</f>
        <v>#REF!</v>
      </c>
      <c r="CS33" s="1" t="e">
        <f>AND(#REF!,"AAAAAC/hvmA=")</f>
        <v>#REF!</v>
      </c>
      <c r="CT33" s="1" t="e">
        <f>AND(#REF!,"AAAAAC/hvmE=")</f>
        <v>#REF!</v>
      </c>
      <c r="CU33" s="1" t="e">
        <f>AND(#REF!,"AAAAAC/hvmI=")</f>
        <v>#REF!</v>
      </c>
      <c r="CV33" s="1" t="e">
        <f>AND(#REF!,"AAAAAC/hvmM=")</f>
        <v>#REF!</v>
      </c>
      <c r="CW33" s="1" t="e">
        <f>AND(#REF!,"AAAAAC/hvmQ=")</f>
        <v>#REF!</v>
      </c>
      <c r="CX33" s="1" t="e">
        <f>AND(#REF!,"AAAAAC/hvmU=")</f>
        <v>#REF!</v>
      </c>
      <c r="CY33" s="1" t="e">
        <f>IF(#REF!,"AAAAAC/hvmY=",0)</f>
        <v>#REF!</v>
      </c>
      <c r="CZ33" s="1" t="e">
        <f>AND(#REF!,"AAAAAC/hvmc=")</f>
        <v>#REF!</v>
      </c>
      <c r="DA33" s="1" t="e">
        <f>AND(#REF!,"AAAAAC/hvmg=")</f>
        <v>#REF!</v>
      </c>
      <c r="DB33" s="1" t="e">
        <f>AND(#REF!,"AAAAAC/hvmk=")</f>
        <v>#REF!</v>
      </c>
      <c r="DC33" s="1" t="e">
        <f>AND(#REF!,"AAAAAC/hvmo=")</f>
        <v>#REF!</v>
      </c>
      <c r="DD33" s="1" t="e">
        <f>AND(#REF!,"AAAAAC/hvms=")</f>
        <v>#REF!</v>
      </c>
      <c r="DE33" s="1" t="e">
        <f>AND(#REF!,"AAAAAC/hvmw=")</f>
        <v>#REF!</v>
      </c>
      <c r="DF33" s="1" t="e">
        <f>AND(#REF!,"AAAAAC/hvm0=")</f>
        <v>#REF!</v>
      </c>
      <c r="DG33" s="1" t="e">
        <f>AND(#REF!,"AAAAAC/hvm4=")</f>
        <v>#REF!</v>
      </c>
      <c r="DH33" s="1" t="e">
        <f>AND(#REF!,"AAAAAC/hvm8=")</f>
        <v>#REF!</v>
      </c>
      <c r="DI33" s="1" t="e">
        <f>AND(#REF!,"AAAAAC/hvnA=")</f>
        <v>#REF!</v>
      </c>
      <c r="DJ33" s="1" t="e">
        <f>AND(#REF!,"AAAAAC/hvnE=")</f>
        <v>#REF!</v>
      </c>
      <c r="DK33" s="1" t="e">
        <f>AND(#REF!,"AAAAAC/hvnI=")</f>
        <v>#REF!</v>
      </c>
      <c r="DL33" s="1" t="e">
        <f>AND(#REF!,"AAAAAC/hvnM=")</f>
        <v>#REF!</v>
      </c>
      <c r="DM33" s="1" t="e">
        <f>AND(#REF!,"AAAAAC/hvnQ=")</f>
        <v>#REF!</v>
      </c>
      <c r="DN33" s="1" t="e">
        <f>AND(#REF!,"AAAAAC/hvnU=")</f>
        <v>#REF!</v>
      </c>
      <c r="DO33" s="1" t="e">
        <f>AND(#REF!,"AAAAAC/hvnY=")</f>
        <v>#REF!</v>
      </c>
      <c r="DP33" s="1" t="e">
        <f>AND(#REF!,"AAAAAC/hvnc=")</f>
        <v>#REF!</v>
      </c>
      <c r="DQ33" s="1" t="e">
        <f>AND(#REF!,"AAAAAC/hvng=")</f>
        <v>#REF!</v>
      </c>
      <c r="DR33" s="1" t="e">
        <f>AND(#REF!,"AAAAAC/hvnk=")</f>
        <v>#REF!</v>
      </c>
      <c r="DS33" s="1" t="e">
        <f>AND(#REF!,"AAAAAC/hvno=")</f>
        <v>#REF!</v>
      </c>
      <c r="DT33" s="1" t="e">
        <f>AND(#REF!,"AAAAAC/hvns=")</f>
        <v>#REF!</v>
      </c>
      <c r="DU33" s="1" t="e">
        <f>AND(#REF!,"AAAAAC/hvnw=")</f>
        <v>#REF!</v>
      </c>
      <c r="DV33" s="1" t="e">
        <f>AND(#REF!,"AAAAAC/hvn0=")</f>
        <v>#REF!</v>
      </c>
      <c r="DW33" s="1" t="e">
        <f>AND(#REF!,"AAAAAC/hvn4=")</f>
        <v>#REF!</v>
      </c>
      <c r="DX33" s="1" t="e">
        <f>AND(#REF!,"AAAAAC/hvn8=")</f>
        <v>#REF!</v>
      </c>
      <c r="DY33" s="1" t="e">
        <f>AND(#REF!,"AAAAAC/hvoA=")</f>
        <v>#REF!</v>
      </c>
      <c r="DZ33" s="1" t="e">
        <f>AND(#REF!,"AAAAAC/hvoE=")</f>
        <v>#REF!</v>
      </c>
      <c r="EA33" s="1" t="e">
        <f>AND(#REF!,"AAAAAC/hvoI=")</f>
        <v>#REF!</v>
      </c>
      <c r="EB33" s="1" t="e">
        <f>AND(#REF!,"AAAAAC/hvoM=")</f>
        <v>#REF!</v>
      </c>
      <c r="EC33" s="1" t="e">
        <f>AND(#REF!,"AAAAAC/hvoQ=")</f>
        <v>#REF!</v>
      </c>
      <c r="ED33" s="1" t="e">
        <f>AND(#REF!,"AAAAAC/hvoU=")</f>
        <v>#REF!</v>
      </c>
      <c r="EE33" s="1" t="e">
        <f>AND(#REF!,"AAAAAC/hvoY=")</f>
        <v>#REF!</v>
      </c>
      <c r="EF33" s="1" t="e">
        <f>AND(#REF!,"AAAAAC/hvoc=")</f>
        <v>#REF!</v>
      </c>
      <c r="EG33" s="1" t="e">
        <f>AND(#REF!,"AAAAAC/hvog=")</f>
        <v>#REF!</v>
      </c>
      <c r="EH33" s="1" t="e">
        <f>AND(#REF!,"AAAAAC/hvok=")</f>
        <v>#REF!</v>
      </c>
      <c r="EI33" s="1" t="e">
        <f>AND(#REF!,"AAAAAC/hvoo=")</f>
        <v>#REF!</v>
      </c>
      <c r="EJ33" s="1" t="e">
        <f>AND(#REF!,"AAAAAC/hvos=")</f>
        <v>#REF!</v>
      </c>
      <c r="EK33" s="1" t="e">
        <f>AND(#REF!,"AAAAAC/hvow=")</f>
        <v>#REF!</v>
      </c>
      <c r="EL33" s="1" t="e">
        <f>AND(#REF!,"AAAAAC/hvo0=")</f>
        <v>#REF!</v>
      </c>
      <c r="EM33" s="1" t="e">
        <f>AND(#REF!,"AAAAAC/hvo4=")</f>
        <v>#REF!</v>
      </c>
      <c r="EN33" s="1" t="e">
        <f>AND(#REF!,"AAAAAC/hvo8=")</f>
        <v>#REF!</v>
      </c>
      <c r="EO33" s="1" t="e">
        <f>AND(#REF!,"AAAAAC/hvpA=")</f>
        <v>#REF!</v>
      </c>
      <c r="EP33" s="1" t="e">
        <f>AND(#REF!,"AAAAAC/hvpE=")</f>
        <v>#REF!</v>
      </c>
      <c r="EQ33" s="1" t="e">
        <f>AND(#REF!,"AAAAAC/hvpI=")</f>
        <v>#REF!</v>
      </c>
      <c r="ER33" s="1" t="e">
        <f>AND(#REF!,"AAAAAC/hvpM=")</f>
        <v>#REF!</v>
      </c>
      <c r="ES33" s="1" t="e">
        <f>AND(#REF!,"AAAAAC/hvpQ=")</f>
        <v>#REF!</v>
      </c>
      <c r="ET33" s="1" t="e">
        <f>AND(#REF!,"AAAAAC/hvpU=")</f>
        <v>#REF!</v>
      </c>
      <c r="EU33" s="1" t="e">
        <f>AND(#REF!,"AAAAAC/hvpY=")</f>
        <v>#REF!</v>
      </c>
      <c r="EV33" s="1" t="e">
        <f>AND(#REF!,"AAAAAC/hvpc=")</f>
        <v>#REF!</v>
      </c>
      <c r="EW33" s="1" t="e">
        <f>AND(#REF!,"AAAAAC/hvpg=")</f>
        <v>#REF!</v>
      </c>
      <c r="EX33" s="1" t="e">
        <f>AND(#REF!,"AAAAAC/hvpk=")</f>
        <v>#REF!</v>
      </c>
      <c r="EY33" s="1" t="e">
        <f>AND(#REF!,"AAAAAC/hvpo=")</f>
        <v>#REF!</v>
      </c>
      <c r="EZ33" s="1" t="e">
        <f>AND(#REF!,"AAAAAC/hvps=")</f>
        <v>#REF!</v>
      </c>
      <c r="FA33" s="1" t="e">
        <f>AND(#REF!,"AAAAAC/hvpw=")</f>
        <v>#REF!</v>
      </c>
      <c r="FB33" s="1" t="e">
        <f>AND(#REF!,"AAAAAC/hvp0=")</f>
        <v>#REF!</v>
      </c>
      <c r="FC33" s="1" t="e">
        <f>AND(#REF!,"AAAAAC/hvp4=")</f>
        <v>#REF!</v>
      </c>
      <c r="FD33" s="1" t="e">
        <f>AND(#REF!,"AAAAAC/hvp8=")</f>
        <v>#REF!</v>
      </c>
      <c r="FE33" s="1" t="e">
        <f>AND(#REF!,"AAAAAC/hvqA=")</f>
        <v>#REF!</v>
      </c>
      <c r="FF33" s="1" t="e">
        <f>AND(#REF!,"AAAAAC/hvqE=")</f>
        <v>#REF!</v>
      </c>
      <c r="FG33" s="1" t="e">
        <f>AND(#REF!,"AAAAAC/hvqI=")</f>
        <v>#REF!</v>
      </c>
      <c r="FH33" s="1" t="e">
        <f>AND(#REF!,"AAAAAC/hvqM=")</f>
        <v>#REF!</v>
      </c>
      <c r="FI33" s="1" t="e">
        <f>AND(#REF!,"AAAAAC/hvqQ=")</f>
        <v>#REF!</v>
      </c>
      <c r="FJ33" s="1" t="e">
        <f>AND(#REF!,"AAAAAC/hvqU=")</f>
        <v>#REF!</v>
      </c>
      <c r="FK33" s="1" t="e">
        <f>AND(#REF!,"AAAAAC/hvqY=")</f>
        <v>#REF!</v>
      </c>
      <c r="FL33" s="1" t="e">
        <f>AND(#REF!,"AAAAAC/hvqc=")</f>
        <v>#REF!</v>
      </c>
      <c r="FM33" s="1" t="e">
        <f>AND(#REF!,"AAAAAC/hvqg=")</f>
        <v>#REF!</v>
      </c>
      <c r="FN33" s="1" t="e">
        <f>AND(#REF!,"AAAAAC/hvqk=")</f>
        <v>#REF!</v>
      </c>
      <c r="FO33" s="1" t="e">
        <f>AND(#REF!,"AAAAAC/hvqo=")</f>
        <v>#REF!</v>
      </c>
      <c r="FP33" s="1" t="e">
        <f>AND(#REF!,"AAAAAC/hvqs=")</f>
        <v>#REF!</v>
      </c>
      <c r="FQ33" s="1" t="e">
        <f>AND(#REF!,"AAAAAC/hvqw=")</f>
        <v>#REF!</v>
      </c>
      <c r="FR33" s="1" t="e">
        <f>AND(#REF!,"AAAAAC/hvq0=")</f>
        <v>#REF!</v>
      </c>
      <c r="FS33" s="1" t="e">
        <f>AND(#REF!,"AAAAAC/hvq4=")</f>
        <v>#REF!</v>
      </c>
      <c r="FT33" s="1" t="e">
        <f>AND(#REF!,"AAAAAC/hvq8=")</f>
        <v>#REF!</v>
      </c>
      <c r="FU33" s="1" t="e">
        <f>AND(#REF!,"AAAAAC/hvrA=")</f>
        <v>#REF!</v>
      </c>
      <c r="FV33" s="1" t="e">
        <f>AND(#REF!,"AAAAAC/hvrE=")</f>
        <v>#REF!</v>
      </c>
      <c r="FW33" s="1" t="e">
        <f>AND(#REF!,"AAAAAC/hvrI=")</f>
        <v>#REF!</v>
      </c>
      <c r="FX33" s="1" t="e">
        <f>AND(#REF!,"AAAAAC/hvrM=")</f>
        <v>#REF!</v>
      </c>
      <c r="FY33" s="1" t="e">
        <f>AND(#REF!,"AAAAAC/hvrQ=")</f>
        <v>#REF!</v>
      </c>
      <c r="FZ33" s="1" t="e">
        <f>AND(#REF!,"AAAAAC/hvrU=")</f>
        <v>#REF!</v>
      </c>
      <c r="GA33" s="1" t="e">
        <f>AND(#REF!,"AAAAAC/hvrY=")</f>
        <v>#REF!</v>
      </c>
      <c r="GB33" s="1" t="e">
        <f>AND(#REF!,"AAAAAC/hvrc=")</f>
        <v>#REF!</v>
      </c>
      <c r="GC33" s="1" t="e">
        <f>AND(#REF!,"AAAAAC/hvrg=")</f>
        <v>#REF!</v>
      </c>
      <c r="GD33" s="1" t="e">
        <f>AND(#REF!,"AAAAAC/hvrk=")</f>
        <v>#REF!</v>
      </c>
      <c r="GE33" s="1" t="e">
        <f>AND(#REF!,"AAAAAC/hvro=")</f>
        <v>#REF!</v>
      </c>
      <c r="GF33" s="1" t="e">
        <f>AND(#REF!,"AAAAAC/hvrs=")</f>
        <v>#REF!</v>
      </c>
      <c r="GG33" s="1" t="e">
        <f>AND(#REF!,"AAAAAC/hvrw=")</f>
        <v>#REF!</v>
      </c>
      <c r="GH33" s="1" t="e">
        <f>AND(#REF!,"AAAAAC/hvr0=")</f>
        <v>#REF!</v>
      </c>
      <c r="GI33" s="1" t="e">
        <f>AND(#REF!,"AAAAAC/hvr4=")</f>
        <v>#REF!</v>
      </c>
      <c r="GJ33" s="1" t="e">
        <f>AND(#REF!,"AAAAAC/hvr8=")</f>
        <v>#REF!</v>
      </c>
      <c r="GK33" s="1" t="e">
        <f>AND(#REF!,"AAAAAC/hvsA=")</f>
        <v>#REF!</v>
      </c>
      <c r="GL33" s="1" t="e">
        <f>AND(#REF!,"AAAAAC/hvsE=")</f>
        <v>#REF!</v>
      </c>
      <c r="GM33" s="1" t="e">
        <f>AND(#REF!,"AAAAAC/hvsI=")</f>
        <v>#REF!</v>
      </c>
      <c r="GN33" s="1" t="e">
        <f>AND(#REF!,"AAAAAC/hvsM=")</f>
        <v>#REF!</v>
      </c>
      <c r="GO33" s="1" t="e">
        <f>AND(#REF!,"AAAAAC/hvsQ=")</f>
        <v>#REF!</v>
      </c>
      <c r="GP33" s="1" t="e">
        <f>AND(#REF!,"AAAAAC/hvsU=")</f>
        <v>#REF!</v>
      </c>
      <c r="GQ33" s="1" t="e">
        <f>AND(#REF!,"AAAAAC/hvsY=")</f>
        <v>#REF!</v>
      </c>
      <c r="GR33" s="1" t="e">
        <f>AND(#REF!,"AAAAAC/hvsc=")</f>
        <v>#REF!</v>
      </c>
      <c r="GS33" s="1" t="e">
        <f>AND(#REF!,"AAAAAC/hvsg=")</f>
        <v>#REF!</v>
      </c>
      <c r="GT33" s="1" t="e">
        <f>AND(#REF!,"AAAAAC/hvsk=")</f>
        <v>#REF!</v>
      </c>
      <c r="GU33" s="1" t="e">
        <f>AND(#REF!,"AAAAAC/hvso=")</f>
        <v>#REF!</v>
      </c>
      <c r="GV33" s="1" t="e">
        <f>AND(#REF!,"AAAAAC/hvss=")</f>
        <v>#REF!</v>
      </c>
      <c r="GW33" s="1" t="e">
        <f>AND(#REF!,"AAAAAC/hvsw=")</f>
        <v>#REF!</v>
      </c>
      <c r="GX33" s="1" t="e">
        <f>IF(#REF!,"AAAAAC/hvs0=",0)</f>
        <v>#REF!</v>
      </c>
      <c r="GY33" s="1" t="e">
        <f>AND(#REF!,"AAAAAC/hvs4=")</f>
        <v>#REF!</v>
      </c>
      <c r="GZ33" s="1" t="e">
        <f>AND(#REF!,"AAAAAC/hvs8=")</f>
        <v>#REF!</v>
      </c>
      <c r="HA33" s="1" t="e">
        <f>AND(#REF!,"AAAAAC/hvtA=")</f>
        <v>#REF!</v>
      </c>
      <c r="HB33" s="1" t="e">
        <f>AND(#REF!,"AAAAAC/hvtE=")</f>
        <v>#REF!</v>
      </c>
      <c r="HC33" s="1" t="e">
        <f>AND(#REF!,"AAAAAC/hvtI=")</f>
        <v>#REF!</v>
      </c>
      <c r="HD33" s="1" t="e">
        <f>AND(#REF!,"AAAAAC/hvtM=")</f>
        <v>#REF!</v>
      </c>
      <c r="HE33" s="1" t="e">
        <f>AND(#REF!,"AAAAAC/hvtQ=")</f>
        <v>#REF!</v>
      </c>
      <c r="HF33" s="1" t="e">
        <f>AND(#REF!,"AAAAAC/hvtU=")</f>
        <v>#REF!</v>
      </c>
      <c r="HG33" s="1" t="e">
        <f>AND(#REF!,"AAAAAC/hvtY=")</f>
        <v>#REF!</v>
      </c>
      <c r="HH33" s="1" t="e">
        <f>AND(#REF!,"AAAAAC/hvtc=")</f>
        <v>#REF!</v>
      </c>
      <c r="HI33" s="1" t="e">
        <f>AND(#REF!,"AAAAAC/hvtg=")</f>
        <v>#REF!</v>
      </c>
      <c r="HJ33" s="1" t="e">
        <f>AND(#REF!,"AAAAAC/hvtk=")</f>
        <v>#REF!</v>
      </c>
      <c r="HK33" s="1" t="e">
        <f>AND(#REF!,"AAAAAC/hvto=")</f>
        <v>#REF!</v>
      </c>
      <c r="HL33" s="1" t="e">
        <f>AND(#REF!,"AAAAAC/hvts=")</f>
        <v>#REF!</v>
      </c>
      <c r="HM33" s="1" t="e">
        <f>AND(#REF!,"AAAAAC/hvtw=")</f>
        <v>#REF!</v>
      </c>
      <c r="HN33" s="1" t="e">
        <f>AND(#REF!,"AAAAAC/hvt0=")</f>
        <v>#REF!</v>
      </c>
      <c r="HO33" s="1" t="e">
        <f>AND(#REF!,"AAAAAC/hvt4=")</f>
        <v>#REF!</v>
      </c>
      <c r="HP33" s="1" t="e">
        <f>AND(#REF!,"AAAAAC/hvt8=")</f>
        <v>#REF!</v>
      </c>
      <c r="HQ33" s="1" t="e">
        <f>AND(#REF!,"AAAAAC/hvuA=")</f>
        <v>#REF!</v>
      </c>
      <c r="HR33" s="1" t="e">
        <f>AND(#REF!,"AAAAAC/hvuE=")</f>
        <v>#REF!</v>
      </c>
      <c r="HS33" s="1" t="e">
        <f>AND(#REF!,"AAAAAC/hvuI=")</f>
        <v>#REF!</v>
      </c>
      <c r="HT33" s="1" t="e">
        <f>AND(#REF!,"AAAAAC/hvuM=")</f>
        <v>#REF!</v>
      </c>
      <c r="HU33" s="1" t="e">
        <f>AND(#REF!,"AAAAAC/hvuQ=")</f>
        <v>#REF!</v>
      </c>
      <c r="HV33" s="1" t="e">
        <f>AND(#REF!,"AAAAAC/hvuU=")</f>
        <v>#REF!</v>
      </c>
      <c r="HW33" s="1" t="e">
        <f>AND(#REF!,"AAAAAC/hvuY=")</f>
        <v>#REF!</v>
      </c>
      <c r="HX33" s="1" t="e">
        <f>AND(#REF!,"AAAAAC/hvuc=")</f>
        <v>#REF!</v>
      </c>
      <c r="HY33" s="1" t="e">
        <f>AND(#REF!,"AAAAAC/hvug=")</f>
        <v>#REF!</v>
      </c>
      <c r="HZ33" s="1" t="e">
        <f>AND(#REF!,"AAAAAC/hvuk=")</f>
        <v>#REF!</v>
      </c>
      <c r="IA33" s="1" t="e">
        <f>AND(#REF!,"AAAAAC/hvuo=")</f>
        <v>#REF!</v>
      </c>
      <c r="IB33" s="1" t="e">
        <f>AND(#REF!,"AAAAAC/hvus=")</f>
        <v>#REF!</v>
      </c>
      <c r="IC33" s="1" t="e">
        <f>AND(#REF!,"AAAAAC/hvuw=")</f>
        <v>#REF!</v>
      </c>
      <c r="ID33" s="1" t="e">
        <f>AND(#REF!,"AAAAAC/hvu0=")</f>
        <v>#REF!</v>
      </c>
      <c r="IE33" s="1" t="e">
        <f>AND(#REF!,"AAAAAC/hvu4=")</f>
        <v>#REF!</v>
      </c>
      <c r="IF33" s="1" t="e">
        <f>AND(#REF!,"AAAAAC/hvu8=")</f>
        <v>#REF!</v>
      </c>
      <c r="IG33" s="1" t="e">
        <f>AND(#REF!,"AAAAAC/hvvA=")</f>
        <v>#REF!</v>
      </c>
      <c r="IH33" s="1" t="e">
        <f>AND(#REF!,"AAAAAC/hvvE=")</f>
        <v>#REF!</v>
      </c>
      <c r="II33" s="1" t="e">
        <f>AND(#REF!,"AAAAAC/hvvI=")</f>
        <v>#REF!</v>
      </c>
      <c r="IJ33" s="1" t="e">
        <f>AND(#REF!,"AAAAAC/hvvM=")</f>
        <v>#REF!</v>
      </c>
      <c r="IK33" s="1" t="e">
        <f>AND(#REF!,"AAAAAC/hvvQ=")</f>
        <v>#REF!</v>
      </c>
      <c r="IL33" s="1" t="e">
        <f>AND(#REF!,"AAAAAC/hvvU=")</f>
        <v>#REF!</v>
      </c>
      <c r="IM33" s="1" t="e">
        <f>AND(#REF!,"AAAAAC/hvvY=")</f>
        <v>#REF!</v>
      </c>
      <c r="IN33" s="1" t="e">
        <f>AND(#REF!,"AAAAAC/hvvc=")</f>
        <v>#REF!</v>
      </c>
      <c r="IO33" s="1" t="e">
        <f>AND(#REF!,"AAAAAC/hvvg=")</f>
        <v>#REF!</v>
      </c>
      <c r="IP33" s="1" t="e">
        <f>AND(#REF!,"AAAAAC/hvvk=")</f>
        <v>#REF!</v>
      </c>
      <c r="IQ33" s="1" t="e">
        <f>AND(#REF!,"AAAAAC/hvvo=")</f>
        <v>#REF!</v>
      </c>
      <c r="IR33" s="1" t="e">
        <f>AND(#REF!,"AAAAAC/hvvs=")</f>
        <v>#REF!</v>
      </c>
      <c r="IS33" s="1" t="e">
        <f>AND(#REF!,"AAAAAC/hvvw=")</f>
        <v>#REF!</v>
      </c>
      <c r="IT33" s="1" t="e">
        <f>AND(#REF!,"AAAAAC/hvv0=")</f>
        <v>#REF!</v>
      </c>
      <c r="IU33" s="1" t="e">
        <f>AND(#REF!,"AAAAAC/hvv4=")</f>
        <v>#REF!</v>
      </c>
      <c r="IV33" s="1" t="e">
        <f>AND(#REF!,"AAAAAC/hvv8=")</f>
        <v>#REF!</v>
      </c>
    </row>
    <row r="34" spans="1:256" ht="15" customHeight="1" x14ac:dyDescent="0.2">
      <c r="A34" s="1" t="e">
        <f>AND(#REF!,"AAAAAF2vlwA=")</f>
        <v>#REF!</v>
      </c>
      <c r="B34" s="1" t="e">
        <f>AND(#REF!,"AAAAAF2vlwE=")</f>
        <v>#REF!</v>
      </c>
      <c r="C34" s="1" t="e">
        <f>AND(#REF!,"AAAAAF2vlwI=")</f>
        <v>#REF!</v>
      </c>
      <c r="D34" s="1" t="e">
        <f>AND(#REF!,"AAAAAF2vlwM=")</f>
        <v>#REF!</v>
      </c>
      <c r="E34" s="1" t="e">
        <f>AND(#REF!,"AAAAAF2vlwQ=")</f>
        <v>#REF!</v>
      </c>
      <c r="F34" s="1" t="e">
        <f>AND(#REF!,"AAAAAF2vlwU=")</f>
        <v>#REF!</v>
      </c>
      <c r="G34" s="1" t="e">
        <f>AND(#REF!,"AAAAAF2vlwY=")</f>
        <v>#REF!</v>
      </c>
      <c r="H34" s="1" t="e">
        <f>AND(#REF!,"AAAAAF2vlwc=")</f>
        <v>#REF!</v>
      </c>
      <c r="I34" s="1" t="e">
        <f>AND(#REF!,"AAAAAF2vlwg=")</f>
        <v>#REF!</v>
      </c>
      <c r="J34" s="1" t="e">
        <f>AND(#REF!,"AAAAAF2vlwk=")</f>
        <v>#REF!</v>
      </c>
      <c r="K34" s="1" t="e">
        <f>AND(#REF!,"AAAAAF2vlwo=")</f>
        <v>#REF!</v>
      </c>
      <c r="L34" s="1" t="e">
        <f>AND(#REF!,"AAAAAF2vlws=")</f>
        <v>#REF!</v>
      </c>
      <c r="M34" s="1" t="e">
        <f>AND(#REF!,"AAAAAF2vlww=")</f>
        <v>#REF!</v>
      </c>
      <c r="N34" s="1" t="e">
        <f>AND(#REF!,"AAAAAF2vlw0=")</f>
        <v>#REF!</v>
      </c>
      <c r="O34" s="1" t="e">
        <f>AND(#REF!,"AAAAAF2vlw4=")</f>
        <v>#REF!</v>
      </c>
      <c r="P34" s="1" t="e">
        <f>AND(#REF!,"AAAAAF2vlw8=")</f>
        <v>#REF!</v>
      </c>
      <c r="Q34" s="1" t="e">
        <f>AND(#REF!,"AAAAAF2vlxA=")</f>
        <v>#REF!</v>
      </c>
      <c r="R34" s="1" t="e">
        <f>AND(#REF!,"AAAAAF2vlxE=")</f>
        <v>#REF!</v>
      </c>
      <c r="S34" s="1" t="e">
        <f>AND(#REF!,"AAAAAF2vlxI=")</f>
        <v>#REF!</v>
      </c>
      <c r="T34" s="1" t="e">
        <f>AND(#REF!,"AAAAAF2vlxM=")</f>
        <v>#REF!</v>
      </c>
      <c r="U34" s="1" t="e">
        <f>AND(#REF!,"AAAAAF2vlxQ=")</f>
        <v>#REF!</v>
      </c>
      <c r="V34" s="1" t="e">
        <f>AND(#REF!,"AAAAAF2vlxU=")</f>
        <v>#REF!</v>
      </c>
      <c r="W34" s="1" t="e">
        <f>AND(#REF!,"AAAAAF2vlxY=")</f>
        <v>#REF!</v>
      </c>
      <c r="X34" s="1" t="e">
        <f>AND(#REF!,"AAAAAF2vlxc=")</f>
        <v>#REF!</v>
      </c>
      <c r="Y34" s="1" t="e">
        <f>AND(#REF!,"AAAAAF2vlxg=")</f>
        <v>#REF!</v>
      </c>
      <c r="Z34" s="1" t="e">
        <f>AND(#REF!,"AAAAAF2vlxk=")</f>
        <v>#REF!</v>
      </c>
      <c r="AA34" s="1" t="e">
        <f>AND(#REF!,"AAAAAF2vlxo=")</f>
        <v>#REF!</v>
      </c>
      <c r="AB34" s="1" t="e">
        <f>AND(#REF!,"AAAAAF2vlxs=")</f>
        <v>#REF!</v>
      </c>
      <c r="AC34" s="1" t="e">
        <f>AND(#REF!,"AAAAAF2vlxw=")</f>
        <v>#REF!</v>
      </c>
      <c r="AD34" s="1" t="e">
        <f>AND(#REF!,"AAAAAF2vlx0=")</f>
        <v>#REF!</v>
      </c>
      <c r="AE34" s="1" t="e">
        <f>AND(#REF!,"AAAAAF2vlx4=")</f>
        <v>#REF!</v>
      </c>
      <c r="AF34" s="1" t="e">
        <f>AND(#REF!,"AAAAAF2vlx8=")</f>
        <v>#REF!</v>
      </c>
      <c r="AG34" s="1" t="e">
        <f>AND(#REF!,"AAAAAF2vlyA=")</f>
        <v>#REF!</v>
      </c>
      <c r="AH34" s="1" t="e">
        <f>AND(#REF!,"AAAAAF2vlyE=")</f>
        <v>#REF!</v>
      </c>
      <c r="AI34" s="1" t="e">
        <f>AND(#REF!,"AAAAAF2vlyI=")</f>
        <v>#REF!</v>
      </c>
      <c r="AJ34" s="1" t="e">
        <f>AND(#REF!,"AAAAAF2vlyM=")</f>
        <v>#REF!</v>
      </c>
      <c r="AK34" s="1" t="e">
        <f>AND(#REF!,"AAAAAF2vlyQ=")</f>
        <v>#REF!</v>
      </c>
      <c r="AL34" s="1" t="e">
        <f>AND(#REF!,"AAAAAF2vlyU=")</f>
        <v>#REF!</v>
      </c>
      <c r="AM34" s="1" t="e">
        <f>AND(#REF!,"AAAAAF2vlyY=")</f>
        <v>#REF!</v>
      </c>
      <c r="AN34" s="1" t="e">
        <f>AND(#REF!,"AAAAAF2vlyc=")</f>
        <v>#REF!</v>
      </c>
      <c r="AO34" s="1" t="e">
        <f>AND(#REF!,"AAAAAF2vlyg=")</f>
        <v>#REF!</v>
      </c>
      <c r="AP34" s="1" t="e">
        <f>AND(#REF!,"AAAAAF2vlyk=")</f>
        <v>#REF!</v>
      </c>
      <c r="AQ34" s="1" t="e">
        <f>AND(#REF!,"AAAAAF2vlyo=")</f>
        <v>#REF!</v>
      </c>
      <c r="AR34" s="1" t="e">
        <f>AND(#REF!,"AAAAAF2vlys=")</f>
        <v>#REF!</v>
      </c>
      <c r="AS34" s="1" t="e">
        <f>AND(#REF!,"AAAAAF2vlyw=")</f>
        <v>#REF!</v>
      </c>
      <c r="AT34" s="1" t="e">
        <f>AND(#REF!,"AAAAAF2vly0=")</f>
        <v>#REF!</v>
      </c>
      <c r="AU34" s="1" t="e">
        <f>AND(#REF!,"AAAAAF2vly4=")</f>
        <v>#REF!</v>
      </c>
      <c r="AV34" s="1" t="e">
        <f>AND(#REF!,"AAAAAF2vly8=")</f>
        <v>#REF!</v>
      </c>
      <c r="AW34" s="1" t="e">
        <f>AND(#REF!,"AAAAAF2vlzA=")</f>
        <v>#REF!</v>
      </c>
      <c r="AX34" s="1" t="e">
        <f>AND(#REF!,"AAAAAF2vlzE=")</f>
        <v>#REF!</v>
      </c>
      <c r="AY34" s="1" t="e">
        <f>AND(#REF!,"AAAAAF2vlzI=")</f>
        <v>#REF!</v>
      </c>
      <c r="AZ34" s="1" t="e">
        <f>AND(#REF!,"AAAAAF2vlzM=")</f>
        <v>#REF!</v>
      </c>
      <c r="BA34" s="1" t="e">
        <f>IF(#REF!,"AAAAAF2vlzQ=",0)</f>
        <v>#REF!</v>
      </c>
      <c r="BB34" s="1" t="e">
        <f>AND(#REF!,"AAAAAF2vlzU=")</f>
        <v>#REF!</v>
      </c>
      <c r="BC34" s="1" t="e">
        <f>AND(#REF!,"AAAAAF2vlzY=")</f>
        <v>#REF!</v>
      </c>
      <c r="BD34" s="1" t="e">
        <f>AND(#REF!,"AAAAAF2vlzc=")</f>
        <v>#REF!</v>
      </c>
      <c r="BE34" s="1" t="e">
        <f>AND(#REF!,"AAAAAF2vlzg=")</f>
        <v>#REF!</v>
      </c>
      <c r="BF34" s="1" t="e">
        <f>AND(#REF!,"AAAAAF2vlzk=")</f>
        <v>#REF!</v>
      </c>
      <c r="BG34" s="1" t="e">
        <f>AND(#REF!,"AAAAAF2vlzo=")</f>
        <v>#REF!</v>
      </c>
      <c r="BH34" s="1" t="e">
        <f>AND(#REF!,"AAAAAF2vlzs=")</f>
        <v>#REF!</v>
      </c>
      <c r="BI34" s="1" t="e">
        <f>AND(#REF!,"AAAAAF2vlzw=")</f>
        <v>#REF!</v>
      </c>
      <c r="BJ34" s="1" t="e">
        <f>AND(#REF!,"AAAAAF2vlz0=")</f>
        <v>#REF!</v>
      </c>
      <c r="BK34" s="1" t="e">
        <f>AND(#REF!,"AAAAAF2vlz4=")</f>
        <v>#REF!</v>
      </c>
      <c r="BL34" s="1" t="e">
        <f>AND(#REF!,"AAAAAF2vlz8=")</f>
        <v>#REF!</v>
      </c>
      <c r="BM34" s="1" t="e">
        <f>AND(#REF!,"AAAAAF2vl0A=")</f>
        <v>#REF!</v>
      </c>
      <c r="BN34" s="1" t="e">
        <f>AND(#REF!,"AAAAAF2vl0E=")</f>
        <v>#REF!</v>
      </c>
      <c r="BO34" s="1" t="e">
        <f>AND(#REF!,"AAAAAF2vl0I=")</f>
        <v>#REF!</v>
      </c>
      <c r="BP34" s="1" t="e">
        <f>AND(#REF!,"AAAAAF2vl0M=")</f>
        <v>#REF!</v>
      </c>
      <c r="BQ34" s="1" t="e">
        <f>AND(#REF!,"AAAAAF2vl0Q=")</f>
        <v>#REF!</v>
      </c>
      <c r="BR34" s="1" t="e">
        <f>AND(#REF!,"AAAAAF2vl0U=")</f>
        <v>#REF!</v>
      </c>
      <c r="BS34" s="1" t="e">
        <f>AND(#REF!,"AAAAAF2vl0Y=")</f>
        <v>#REF!</v>
      </c>
      <c r="BT34" s="1" t="e">
        <f>AND(#REF!,"AAAAAF2vl0c=")</f>
        <v>#REF!</v>
      </c>
      <c r="BU34" s="1" t="e">
        <f>AND(#REF!,"AAAAAF2vl0g=")</f>
        <v>#REF!</v>
      </c>
      <c r="BV34" s="1" t="e">
        <f>AND(#REF!,"AAAAAF2vl0k=")</f>
        <v>#REF!</v>
      </c>
      <c r="BW34" s="1" t="e">
        <f>AND(#REF!,"AAAAAF2vl0o=")</f>
        <v>#REF!</v>
      </c>
      <c r="BX34" s="1" t="e">
        <f>AND(#REF!,"AAAAAF2vl0s=")</f>
        <v>#REF!</v>
      </c>
      <c r="BY34" s="1" t="e">
        <f>AND(#REF!,"AAAAAF2vl0w=")</f>
        <v>#REF!</v>
      </c>
      <c r="BZ34" s="1" t="e">
        <f>AND(#REF!,"AAAAAF2vl00=")</f>
        <v>#REF!</v>
      </c>
      <c r="CA34" s="1" t="e">
        <f>AND(#REF!,"AAAAAF2vl04=")</f>
        <v>#REF!</v>
      </c>
      <c r="CB34" s="1" t="e">
        <f>AND(#REF!,"AAAAAF2vl08=")</f>
        <v>#REF!</v>
      </c>
      <c r="CC34" s="1" t="e">
        <f>AND(#REF!,"AAAAAF2vl1A=")</f>
        <v>#REF!</v>
      </c>
      <c r="CD34" s="1" t="e">
        <f>AND(#REF!,"AAAAAF2vl1E=")</f>
        <v>#REF!</v>
      </c>
      <c r="CE34" s="1" t="e">
        <f>AND(#REF!,"AAAAAF2vl1I=")</f>
        <v>#REF!</v>
      </c>
      <c r="CF34" s="1" t="e">
        <f>AND(#REF!,"AAAAAF2vl1M=")</f>
        <v>#REF!</v>
      </c>
      <c r="CG34" s="1" t="e">
        <f>AND(#REF!,"AAAAAF2vl1Q=")</f>
        <v>#REF!</v>
      </c>
      <c r="CH34" s="1" t="e">
        <f>AND(#REF!,"AAAAAF2vl1U=")</f>
        <v>#REF!</v>
      </c>
      <c r="CI34" s="1" t="e">
        <f>AND(#REF!,"AAAAAF2vl1Y=")</f>
        <v>#REF!</v>
      </c>
      <c r="CJ34" s="1" t="e">
        <f>AND(#REF!,"AAAAAF2vl1c=")</f>
        <v>#REF!</v>
      </c>
      <c r="CK34" s="1" t="e">
        <f>AND(#REF!,"AAAAAF2vl1g=")</f>
        <v>#REF!</v>
      </c>
      <c r="CL34" s="1" t="e">
        <f>AND(#REF!,"AAAAAF2vl1k=")</f>
        <v>#REF!</v>
      </c>
      <c r="CM34" s="1" t="e">
        <f>AND(#REF!,"AAAAAF2vl1o=")</f>
        <v>#REF!</v>
      </c>
      <c r="CN34" s="1" t="e">
        <f>AND(#REF!,"AAAAAF2vl1s=")</f>
        <v>#REF!</v>
      </c>
      <c r="CO34" s="1" t="e">
        <f>AND(#REF!,"AAAAAF2vl1w=")</f>
        <v>#REF!</v>
      </c>
      <c r="CP34" s="1" t="e">
        <f>AND(#REF!,"AAAAAF2vl10=")</f>
        <v>#REF!</v>
      </c>
      <c r="CQ34" s="1" t="e">
        <f>AND(#REF!,"AAAAAF2vl14=")</f>
        <v>#REF!</v>
      </c>
      <c r="CR34" s="1" t="e">
        <f>AND(#REF!,"AAAAAF2vl18=")</f>
        <v>#REF!</v>
      </c>
      <c r="CS34" s="1" t="e">
        <f>AND(#REF!,"AAAAAF2vl2A=")</f>
        <v>#REF!</v>
      </c>
      <c r="CT34" s="1" t="e">
        <f>AND(#REF!,"AAAAAF2vl2E=")</f>
        <v>#REF!</v>
      </c>
      <c r="CU34" s="1" t="e">
        <f>AND(#REF!,"AAAAAF2vl2I=")</f>
        <v>#REF!</v>
      </c>
      <c r="CV34" s="1" t="e">
        <f>AND(#REF!,"AAAAAF2vl2M=")</f>
        <v>#REF!</v>
      </c>
      <c r="CW34" s="1" t="e">
        <f>AND(#REF!,"AAAAAF2vl2Q=")</f>
        <v>#REF!</v>
      </c>
      <c r="CX34" s="1" t="e">
        <f>AND(#REF!,"AAAAAF2vl2U=")</f>
        <v>#REF!</v>
      </c>
      <c r="CY34" s="1" t="e">
        <f>AND(#REF!,"AAAAAF2vl2Y=")</f>
        <v>#REF!</v>
      </c>
      <c r="CZ34" s="1" t="e">
        <f>AND(#REF!,"AAAAAF2vl2c=")</f>
        <v>#REF!</v>
      </c>
      <c r="DA34" s="1" t="e">
        <f>AND(#REF!,"AAAAAF2vl2g=")</f>
        <v>#REF!</v>
      </c>
      <c r="DB34" s="1" t="e">
        <f>AND(#REF!,"AAAAAF2vl2k=")</f>
        <v>#REF!</v>
      </c>
      <c r="DC34" s="1" t="e">
        <f>AND(#REF!,"AAAAAF2vl2o=")</f>
        <v>#REF!</v>
      </c>
      <c r="DD34" s="1" t="e">
        <f>AND(#REF!,"AAAAAF2vl2s=")</f>
        <v>#REF!</v>
      </c>
      <c r="DE34" s="1" t="e">
        <f>AND(#REF!,"AAAAAF2vl2w=")</f>
        <v>#REF!</v>
      </c>
      <c r="DF34" s="1" t="e">
        <f>AND(#REF!,"AAAAAF2vl20=")</f>
        <v>#REF!</v>
      </c>
      <c r="DG34" s="1" t="e">
        <f>AND(#REF!,"AAAAAF2vl24=")</f>
        <v>#REF!</v>
      </c>
      <c r="DH34" s="1" t="e">
        <f>AND(#REF!,"AAAAAF2vl28=")</f>
        <v>#REF!</v>
      </c>
      <c r="DI34" s="1" t="e">
        <f>AND(#REF!,"AAAAAF2vl3A=")</f>
        <v>#REF!</v>
      </c>
      <c r="DJ34" s="1" t="e">
        <f>AND(#REF!,"AAAAAF2vl3E=")</f>
        <v>#REF!</v>
      </c>
      <c r="DK34" s="1" t="e">
        <f>AND(#REF!,"AAAAAF2vl3I=")</f>
        <v>#REF!</v>
      </c>
      <c r="DL34" s="1" t="e">
        <f>AND(#REF!,"AAAAAF2vl3M=")</f>
        <v>#REF!</v>
      </c>
      <c r="DM34" s="1" t="e">
        <f>AND(#REF!,"AAAAAF2vl3Q=")</f>
        <v>#REF!</v>
      </c>
      <c r="DN34" s="1" t="e">
        <f>AND(#REF!,"AAAAAF2vl3U=")</f>
        <v>#REF!</v>
      </c>
      <c r="DO34" s="1" t="e">
        <f>AND(#REF!,"AAAAAF2vl3Y=")</f>
        <v>#REF!</v>
      </c>
      <c r="DP34" s="1" t="e">
        <f>AND(#REF!,"AAAAAF2vl3c=")</f>
        <v>#REF!</v>
      </c>
      <c r="DQ34" s="1" t="e">
        <f>AND(#REF!,"AAAAAF2vl3g=")</f>
        <v>#REF!</v>
      </c>
      <c r="DR34" s="1" t="e">
        <f>AND(#REF!,"AAAAAF2vl3k=")</f>
        <v>#REF!</v>
      </c>
      <c r="DS34" s="1" t="e">
        <f>AND(#REF!,"AAAAAF2vl3o=")</f>
        <v>#REF!</v>
      </c>
      <c r="DT34" s="1" t="e">
        <f>AND(#REF!,"AAAAAF2vl3s=")</f>
        <v>#REF!</v>
      </c>
      <c r="DU34" s="1" t="e">
        <f>AND(#REF!,"AAAAAF2vl3w=")</f>
        <v>#REF!</v>
      </c>
      <c r="DV34" s="1" t="e">
        <f>AND(#REF!,"AAAAAF2vl30=")</f>
        <v>#REF!</v>
      </c>
      <c r="DW34" s="1" t="e">
        <f>AND(#REF!,"AAAAAF2vl34=")</f>
        <v>#REF!</v>
      </c>
      <c r="DX34" s="1" t="e">
        <f>AND(#REF!,"AAAAAF2vl38=")</f>
        <v>#REF!</v>
      </c>
      <c r="DY34" s="1" t="e">
        <f>AND(#REF!,"AAAAAF2vl4A=")</f>
        <v>#REF!</v>
      </c>
      <c r="DZ34" s="1" t="e">
        <f>AND(#REF!,"AAAAAF2vl4E=")</f>
        <v>#REF!</v>
      </c>
      <c r="EA34" s="1" t="e">
        <f>AND(#REF!,"AAAAAF2vl4I=")</f>
        <v>#REF!</v>
      </c>
      <c r="EB34" s="1" t="e">
        <f>AND(#REF!,"AAAAAF2vl4M=")</f>
        <v>#REF!</v>
      </c>
      <c r="EC34" s="1" t="e">
        <f>AND(#REF!,"AAAAAF2vl4Q=")</f>
        <v>#REF!</v>
      </c>
      <c r="ED34" s="1" t="e">
        <f>AND(#REF!,"AAAAAF2vl4U=")</f>
        <v>#REF!</v>
      </c>
      <c r="EE34" s="1" t="e">
        <f>AND(#REF!,"AAAAAF2vl4Y=")</f>
        <v>#REF!</v>
      </c>
      <c r="EF34" s="1" t="e">
        <f>AND(#REF!,"AAAAAF2vl4c=")</f>
        <v>#REF!</v>
      </c>
      <c r="EG34" s="1" t="e">
        <f>AND(#REF!,"AAAAAF2vl4g=")</f>
        <v>#REF!</v>
      </c>
      <c r="EH34" s="1" t="e">
        <f>AND(#REF!,"AAAAAF2vl4k=")</f>
        <v>#REF!</v>
      </c>
      <c r="EI34" s="1" t="e">
        <f>AND(#REF!,"AAAAAF2vl4o=")</f>
        <v>#REF!</v>
      </c>
      <c r="EJ34" s="1" t="e">
        <f>AND(#REF!,"AAAAAF2vl4s=")</f>
        <v>#REF!</v>
      </c>
      <c r="EK34" s="1" t="e">
        <f>AND(#REF!,"AAAAAF2vl4w=")</f>
        <v>#REF!</v>
      </c>
      <c r="EL34" s="1" t="e">
        <f>AND(#REF!,"AAAAAF2vl40=")</f>
        <v>#REF!</v>
      </c>
      <c r="EM34" s="1" t="e">
        <f>AND(#REF!,"AAAAAF2vl44=")</f>
        <v>#REF!</v>
      </c>
      <c r="EN34" s="1" t="e">
        <f>AND(#REF!,"AAAAAF2vl48=")</f>
        <v>#REF!</v>
      </c>
      <c r="EO34" s="1" t="e">
        <f>AND(#REF!,"AAAAAF2vl5A=")</f>
        <v>#REF!</v>
      </c>
      <c r="EP34" s="1" t="e">
        <f>AND(#REF!,"AAAAAF2vl5E=")</f>
        <v>#REF!</v>
      </c>
      <c r="EQ34" s="1" t="e">
        <f>AND(#REF!,"AAAAAF2vl5I=")</f>
        <v>#REF!</v>
      </c>
      <c r="ER34" s="1" t="e">
        <f>AND(#REF!,"AAAAAF2vl5M=")</f>
        <v>#REF!</v>
      </c>
      <c r="ES34" s="1" t="e">
        <f>AND(#REF!,"AAAAAF2vl5Q=")</f>
        <v>#REF!</v>
      </c>
      <c r="ET34" s="1" t="e">
        <f>AND(#REF!,"AAAAAF2vl5U=")</f>
        <v>#REF!</v>
      </c>
      <c r="EU34" s="1" t="e">
        <f>AND(#REF!,"AAAAAF2vl5Y=")</f>
        <v>#REF!</v>
      </c>
      <c r="EV34" s="1" t="e">
        <f>AND(#REF!,"AAAAAF2vl5c=")</f>
        <v>#REF!</v>
      </c>
      <c r="EW34" s="1" t="e">
        <f>AND(#REF!,"AAAAAF2vl5g=")</f>
        <v>#REF!</v>
      </c>
      <c r="EX34" s="1" t="e">
        <f>AND(#REF!,"AAAAAF2vl5k=")</f>
        <v>#REF!</v>
      </c>
      <c r="EY34" s="1" t="e">
        <f>AND(#REF!,"AAAAAF2vl5o=")</f>
        <v>#REF!</v>
      </c>
      <c r="EZ34" s="1" t="e">
        <f>IF(#REF!,"AAAAAF2vl5s=",0)</f>
        <v>#REF!</v>
      </c>
      <c r="FA34" s="1" t="e">
        <f>AND(#REF!,"AAAAAF2vl5w=")</f>
        <v>#REF!</v>
      </c>
      <c r="FB34" s="1" t="e">
        <f>AND(#REF!,"AAAAAF2vl50=")</f>
        <v>#REF!</v>
      </c>
      <c r="FC34" s="1" t="e">
        <f>AND(#REF!,"AAAAAF2vl54=")</f>
        <v>#REF!</v>
      </c>
      <c r="FD34" s="1" t="e">
        <f>AND(#REF!,"AAAAAF2vl58=")</f>
        <v>#REF!</v>
      </c>
      <c r="FE34" s="1" t="e">
        <f>AND(#REF!,"AAAAAF2vl6A=")</f>
        <v>#REF!</v>
      </c>
      <c r="FF34" s="1" t="e">
        <f>AND(#REF!,"AAAAAF2vl6E=")</f>
        <v>#REF!</v>
      </c>
      <c r="FG34" s="1" t="e">
        <f>AND(#REF!,"AAAAAF2vl6I=")</f>
        <v>#REF!</v>
      </c>
      <c r="FH34" s="1" t="e">
        <f>AND(#REF!,"AAAAAF2vl6M=")</f>
        <v>#REF!</v>
      </c>
      <c r="FI34" s="1" t="e">
        <f>AND(#REF!,"AAAAAF2vl6Q=")</f>
        <v>#REF!</v>
      </c>
      <c r="FJ34" s="1" t="e">
        <f>AND(#REF!,"AAAAAF2vl6U=")</f>
        <v>#REF!</v>
      </c>
      <c r="FK34" s="1" t="e">
        <f>AND(#REF!,"AAAAAF2vl6Y=")</f>
        <v>#REF!</v>
      </c>
      <c r="FL34" s="1" t="e">
        <f>AND(#REF!,"AAAAAF2vl6c=")</f>
        <v>#REF!</v>
      </c>
      <c r="FM34" s="1" t="e">
        <f>AND(#REF!,"AAAAAF2vl6g=")</f>
        <v>#REF!</v>
      </c>
      <c r="FN34" s="1" t="e">
        <f>AND(#REF!,"AAAAAF2vl6k=")</f>
        <v>#REF!</v>
      </c>
      <c r="FO34" s="1" t="e">
        <f>AND(#REF!,"AAAAAF2vl6o=")</f>
        <v>#REF!</v>
      </c>
      <c r="FP34" s="1" t="e">
        <f>AND(#REF!,"AAAAAF2vl6s=")</f>
        <v>#REF!</v>
      </c>
      <c r="FQ34" s="1" t="e">
        <f>AND(#REF!,"AAAAAF2vl6w=")</f>
        <v>#REF!</v>
      </c>
      <c r="FR34" s="1" t="e">
        <f>AND(#REF!,"AAAAAF2vl60=")</f>
        <v>#REF!</v>
      </c>
      <c r="FS34" s="1" t="e">
        <f>AND(#REF!,"AAAAAF2vl64=")</f>
        <v>#REF!</v>
      </c>
      <c r="FT34" s="1" t="e">
        <f>AND(#REF!,"AAAAAF2vl68=")</f>
        <v>#REF!</v>
      </c>
      <c r="FU34" s="1" t="e">
        <f>AND(#REF!,"AAAAAF2vl7A=")</f>
        <v>#REF!</v>
      </c>
      <c r="FV34" s="1" t="e">
        <f>AND(#REF!,"AAAAAF2vl7E=")</f>
        <v>#REF!</v>
      </c>
      <c r="FW34" s="1" t="e">
        <f>AND(#REF!,"AAAAAF2vl7I=")</f>
        <v>#REF!</v>
      </c>
      <c r="FX34" s="1" t="e">
        <f>AND(#REF!,"AAAAAF2vl7M=")</f>
        <v>#REF!</v>
      </c>
      <c r="FY34" s="1" t="e">
        <f>AND(#REF!,"AAAAAF2vl7Q=")</f>
        <v>#REF!</v>
      </c>
      <c r="FZ34" s="1" t="e">
        <f>AND(#REF!,"AAAAAF2vl7U=")</f>
        <v>#REF!</v>
      </c>
      <c r="GA34" s="1" t="e">
        <f>AND(#REF!,"AAAAAF2vl7Y=")</f>
        <v>#REF!</v>
      </c>
      <c r="GB34" s="1" t="e">
        <f>AND(#REF!,"AAAAAF2vl7c=")</f>
        <v>#REF!</v>
      </c>
      <c r="GC34" s="1" t="e">
        <f>AND(#REF!,"AAAAAF2vl7g=")</f>
        <v>#REF!</v>
      </c>
      <c r="GD34" s="1" t="e">
        <f>AND(#REF!,"AAAAAF2vl7k=")</f>
        <v>#REF!</v>
      </c>
      <c r="GE34" s="1" t="e">
        <f>AND(#REF!,"AAAAAF2vl7o=")</f>
        <v>#REF!</v>
      </c>
      <c r="GF34" s="1" t="e">
        <f>AND(#REF!,"AAAAAF2vl7s=")</f>
        <v>#REF!</v>
      </c>
      <c r="GG34" s="1" t="e">
        <f>AND(#REF!,"AAAAAF2vl7w=")</f>
        <v>#REF!</v>
      </c>
      <c r="GH34" s="1" t="e">
        <f>AND(#REF!,"AAAAAF2vl70=")</f>
        <v>#REF!</v>
      </c>
      <c r="GI34" s="1" t="e">
        <f>AND(#REF!,"AAAAAF2vl74=")</f>
        <v>#REF!</v>
      </c>
      <c r="GJ34" s="1" t="e">
        <f>AND(#REF!,"AAAAAF2vl78=")</f>
        <v>#REF!</v>
      </c>
      <c r="GK34" s="1" t="e">
        <f>AND(#REF!,"AAAAAF2vl8A=")</f>
        <v>#REF!</v>
      </c>
      <c r="GL34" s="1" t="e">
        <f>AND(#REF!,"AAAAAF2vl8E=")</f>
        <v>#REF!</v>
      </c>
      <c r="GM34" s="1" t="e">
        <f>AND(#REF!,"AAAAAF2vl8I=")</f>
        <v>#REF!</v>
      </c>
      <c r="GN34" s="1" t="e">
        <f>AND(#REF!,"AAAAAF2vl8M=")</f>
        <v>#REF!</v>
      </c>
      <c r="GO34" s="1" t="e">
        <f>AND(#REF!,"AAAAAF2vl8Q=")</f>
        <v>#REF!</v>
      </c>
      <c r="GP34" s="1" t="e">
        <f>AND(#REF!,"AAAAAF2vl8U=")</f>
        <v>#REF!</v>
      </c>
      <c r="GQ34" s="1" t="e">
        <f>AND(#REF!,"AAAAAF2vl8Y=")</f>
        <v>#REF!</v>
      </c>
      <c r="GR34" s="1" t="e">
        <f>AND(#REF!,"AAAAAF2vl8c=")</f>
        <v>#REF!</v>
      </c>
      <c r="GS34" s="1" t="e">
        <f>AND(#REF!,"AAAAAF2vl8g=")</f>
        <v>#REF!</v>
      </c>
      <c r="GT34" s="1" t="e">
        <f>AND(#REF!,"AAAAAF2vl8k=")</f>
        <v>#REF!</v>
      </c>
      <c r="GU34" s="1" t="e">
        <f>AND(#REF!,"AAAAAF2vl8o=")</f>
        <v>#REF!</v>
      </c>
      <c r="GV34" s="1" t="e">
        <f>AND(#REF!,"AAAAAF2vl8s=")</f>
        <v>#REF!</v>
      </c>
      <c r="GW34" s="1" t="e">
        <f>AND(#REF!,"AAAAAF2vl8w=")</f>
        <v>#REF!</v>
      </c>
      <c r="GX34" s="1" t="e">
        <f>AND(#REF!,"AAAAAF2vl80=")</f>
        <v>#REF!</v>
      </c>
      <c r="GY34" s="1" t="e">
        <f>AND(#REF!,"AAAAAF2vl84=")</f>
        <v>#REF!</v>
      </c>
      <c r="GZ34" s="1" t="e">
        <f>AND(#REF!,"AAAAAF2vl88=")</f>
        <v>#REF!</v>
      </c>
      <c r="HA34" s="1" t="e">
        <f>AND(#REF!,"AAAAAF2vl9A=")</f>
        <v>#REF!</v>
      </c>
      <c r="HB34" s="1" t="e">
        <f>AND(#REF!,"AAAAAF2vl9E=")</f>
        <v>#REF!</v>
      </c>
      <c r="HC34" s="1" t="e">
        <f>AND(#REF!,"AAAAAF2vl9I=")</f>
        <v>#REF!</v>
      </c>
      <c r="HD34" s="1" t="e">
        <f>AND(#REF!,"AAAAAF2vl9M=")</f>
        <v>#REF!</v>
      </c>
      <c r="HE34" s="1" t="e">
        <f>AND(#REF!,"AAAAAF2vl9Q=")</f>
        <v>#REF!</v>
      </c>
      <c r="HF34" s="1" t="e">
        <f>AND(#REF!,"AAAAAF2vl9U=")</f>
        <v>#REF!</v>
      </c>
      <c r="HG34" s="1" t="e">
        <f>AND(#REF!,"AAAAAF2vl9Y=")</f>
        <v>#REF!</v>
      </c>
      <c r="HH34" s="1" t="e">
        <f>AND(#REF!,"AAAAAF2vl9c=")</f>
        <v>#REF!</v>
      </c>
      <c r="HI34" s="1" t="e">
        <f>AND(#REF!,"AAAAAF2vl9g=")</f>
        <v>#REF!</v>
      </c>
      <c r="HJ34" s="1" t="e">
        <f>AND(#REF!,"AAAAAF2vl9k=")</f>
        <v>#REF!</v>
      </c>
      <c r="HK34" s="1" t="e">
        <f>AND(#REF!,"AAAAAF2vl9o=")</f>
        <v>#REF!</v>
      </c>
      <c r="HL34" s="1" t="e">
        <f>AND(#REF!,"AAAAAF2vl9s=")</f>
        <v>#REF!</v>
      </c>
      <c r="HM34" s="1" t="e">
        <f>AND(#REF!,"AAAAAF2vl9w=")</f>
        <v>#REF!</v>
      </c>
      <c r="HN34" s="1" t="e">
        <f>AND(#REF!,"AAAAAF2vl90=")</f>
        <v>#REF!</v>
      </c>
      <c r="HO34" s="1" t="e">
        <f>AND(#REF!,"AAAAAF2vl94=")</f>
        <v>#REF!</v>
      </c>
      <c r="HP34" s="1" t="e">
        <f>AND(#REF!,"AAAAAF2vl98=")</f>
        <v>#REF!</v>
      </c>
      <c r="HQ34" s="1" t="e">
        <f>AND(#REF!,"AAAAAF2vl+A=")</f>
        <v>#REF!</v>
      </c>
      <c r="HR34" s="1" t="e">
        <f>AND(#REF!,"AAAAAF2vl+E=")</f>
        <v>#REF!</v>
      </c>
      <c r="HS34" s="1" t="e">
        <f>AND(#REF!,"AAAAAF2vl+I=")</f>
        <v>#REF!</v>
      </c>
      <c r="HT34" s="1" t="e">
        <f>AND(#REF!,"AAAAAF2vl+M=")</f>
        <v>#REF!</v>
      </c>
      <c r="HU34" s="1" t="e">
        <f>AND(#REF!,"AAAAAF2vl+Q=")</f>
        <v>#REF!</v>
      </c>
      <c r="HV34" s="1" t="e">
        <f>AND(#REF!,"AAAAAF2vl+U=")</f>
        <v>#REF!</v>
      </c>
      <c r="HW34" s="1" t="e">
        <f>AND(#REF!,"AAAAAF2vl+Y=")</f>
        <v>#REF!</v>
      </c>
      <c r="HX34" s="1" t="e">
        <f>AND(#REF!,"AAAAAF2vl+c=")</f>
        <v>#REF!</v>
      </c>
      <c r="HY34" s="1" t="e">
        <f>AND(#REF!,"AAAAAF2vl+g=")</f>
        <v>#REF!</v>
      </c>
      <c r="HZ34" s="1" t="e">
        <f>AND(#REF!,"AAAAAF2vl+k=")</f>
        <v>#REF!</v>
      </c>
      <c r="IA34" s="1" t="e">
        <f>AND(#REF!,"AAAAAF2vl+o=")</f>
        <v>#REF!</v>
      </c>
      <c r="IB34" s="1" t="e">
        <f>AND(#REF!,"AAAAAF2vl+s=")</f>
        <v>#REF!</v>
      </c>
      <c r="IC34" s="1" t="e">
        <f>AND(#REF!,"AAAAAF2vl+w=")</f>
        <v>#REF!</v>
      </c>
      <c r="ID34" s="1" t="e">
        <f>AND(#REF!,"AAAAAF2vl+0=")</f>
        <v>#REF!</v>
      </c>
      <c r="IE34" s="1" t="e">
        <f>AND(#REF!,"AAAAAF2vl+4=")</f>
        <v>#REF!</v>
      </c>
      <c r="IF34" s="1" t="e">
        <f>AND(#REF!,"AAAAAF2vl+8=")</f>
        <v>#REF!</v>
      </c>
      <c r="IG34" s="1" t="e">
        <f>AND(#REF!,"AAAAAF2vl/A=")</f>
        <v>#REF!</v>
      </c>
      <c r="IH34" s="1" t="e">
        <f>AND(#REF!,"AAAAAF2vl/E=")</f>
        <v>#REF!</v>
      </c>
      <c r="II34" s="1" t="e">
        <f>AND(#REF!,"AAAAAF2vl/I=")</f>
        <v>#REF!</v>
      </c>
      <c r="IJ34" s="1" t="e">
        <f>AND(#REF!,"AAAAAF2vl/M=")</f>
        <v>#REF!</v>
      </c>
      <c r="IK34" s="1" t="e">
        <f>AND(#REF!,"AAAAAF2vl/Q=")</f>
        <v>#REF!</v>
      </c>
      <c r="IL34" s="1" t="e">
        <f>AND(#REF!,"AAAAAF2vl/U=")</f>
        <v>#REF!</v>
      </c>
      <c r="IM34" s="1" t="e">
        <f>AND(#REF!,"AAAAAF2vl/Y=")</f>
        <v>#REF!</v>
      </c>
      <c r="IN34" s="1" t="e">
        <f>AND(#REF!,"AAAAAF2vl/c=")</f>
        <v>#REF!</v>
      </c>
      <c r="IO34" s="1" t="e">
        <f>AND(#REF!,"AAAAAF2vl/g=")</f>
        <v>#REF!</v>
      </c>
      <c r="IP34" s="1" t="e">
        <f>AND(#REF!,"AAAAAF2vl/k=")</f>
        <v>#REF!</v>
      </c>
      <c r="IQ34" s="1" t="e">
        <f>AND(#REF!,"AAAAAF2vl/o=")</f>
        <v>#REF!</v>
      </c>
      <c r="IR34" s="1" t="e">
        <f>AND(#REF!,"AAAAAF2vl/s=")</f>
        <v>#REF!</v>
      </c>
      <c r="IS34" s="1" t="e">
        <f>AND(#REF!,"AAAAAF2vl/w=")</f>
        <v>#REF!</v>
      </c>
      <c r="IT34" s="1" t="e">
        <f>AND(#REF!,"AAAAAF2vl/0=")</f>
        <v>#REF!</v>
      </c>
      <c r="IU34" s="1" t="e">
        <f>AND(#REF!,"AAAAAF2vl/4=")</f>
        <v>#REF!</v>
      </c>
      <c r="IV34" s="1" t="e">
        <f>AND(#REF!,"AAAAAF2vl/8=")</f>
        <v>#REF!</v>
      </c>
    </row>
    <row r="35" spans="1:256" ht="15" customHeight="1" x14ac:dyDescent="0.2">
      <c r="A35" s="1" t="e">
        <f>AND(#REF!,"AAAAAHPJfgA=")</f>
        <v>#REF!</v>
      </c>
      <c r="B35" s="1" t="e">
        <f>AND(#REF!,"AAAAAHPJfgE=")</f>
        <v>#REF!</v>
      </c>
      <c r="C35" s="1" t="e">
        <f>IF(#REF!,"AAAAAHPJfgI=",0)</f>
        <v>#REF!</v>
      </c>
      <c r="D35" s="1" t="e">
        <f>AND(#REF!,"AAAAAHPJfgM=")</f>
        <v>#REF!</v>
      </c>
      <c r="E35" s="1" t="e">
        <f>AND(#REF!,"AAAAAHPJfgQ=")</f>
        <v>#REF!</v>
      </c>
      <c r="F35" s="1" t="e">
        <f>AND(#REF!,"AAAAAHPJfgU=")</f>
        <v>#REF!</v>
      </c>
      <c r="G35" s="1" t="e">
        <f>AND(#REF!,"AAAAAHPJfgY=")</f>
        <v>#REF!</v>
      </c>
      <c r="H35" s="1" t="e">
        <f>AND(#REF!,"AAAAAHPJfgc=")</f>
        <v>#REF!</v>
      </c>
      <c r="I35" s="1" t="e">
        <f>AND(#REF!,"AAAAAHPJfgg=")</f>
        <v>#REF!</v>
      </c>
      <c r="J35" s="1" t="e">
        <f>AND(#REF!,"AAAAAHPJfgk=")</f>
        <v>#REF!</v>
      </c>
      <c r="K35" s="1" t="e">
        <f>AND(#REF!,"AAAAAHPJfgo=")</f>
        <v>#REF!</v>
      </c>
      <c r="L35" s="1" t="e">
        <f>AND(#REF!,"AAAAAHPJfgs=")</f>
        <v>#REF!</v>
      </c>
      <c r="M35" s="1" t="e">
        <f>AND(#REF!,"AAAAAHPJfgw=")</f>
        <v>#REF!</v>
      </c>
      <c r="N35" s="1" t="e">
        <f>AND(#REF!,"AAAAAHPJfg0=")</f>
        <v>#REF!</v>
      </c>
      <c r="O35" s="1" t="e">
        <f>AND(#REF!,"AAAAAHPJfg4=")</f>
        <v>#REF!</v>
      </c>
      <c r="P35" s="1" t="e">
        <f>AND(#REF!,"AAAAAHPJfg8=")</f>
        <v>#REF!</v>
      </c>
      <c r="Q35" s="1" t="e">
        <f>AND(#REF!,"AAAAAHPJfhA=")</f>
        <v>#REF!</v>
      </c>
      <c r="R35" s="1" t="e">
        <f>AND(#REF!,"AAAAAHPJfhE=")</f>
        <v>#REF!</v>
      </c>
      <c r="S35" s="1" t="e">
        <f>AND(#REF!,"AAAAAHPJfhI=")</f>
        <v>#REF!</v>
      </c>
      <c r="T35" s="1" t="e">
        <f>AND(#REF!,"AAAAAHPJfhM=")</f>
        <v>#REF!</v>
      </c>
      <c r="U35" s="1" t="e">
        <f>AND(#REF!,"AAAAAHPJfhQ=")</f>
        <v>#REF!</v>
      </c>
      <c r="V35" s="1" t="e">
        <f>AND(#REF!,"AAAAAHPJfhU=")</f>
        <v>#REF!</v>
      </c>
      <c r="W35" s="1" t="e">
        <f>AND(#REF!,"AAAAAHPJfhY=")</f>
        <v>#REF!</v>
      </c>
      <c r="X35" s="1" t="e">
        <f>AND(#REF!,"AAAAAHPJfhc=")</f>
        <v>#REF!</v>
      </c>
      <c r="Y35" s="1" t="e">
        <f>AND(#REF!,"AAAAAHPJfhg=")</f>
        <v>#REF!</v>
      </c>
      <c r="Z35" s="1" t="e">
        <f>AND(#REF!,"AAAAAHPJfhk=")</f>
        <v>#REF!</v>
      </c>
      <c r="AA35" s="1" t="e">
        <f>AND(#REF!,"AAAAAHPJfho=")</f>
        <v>#REF!</v>
      </c>
      <c r="AB35" s="1" t="e">
        <f>AND(#REF!,"AAAAAHPJfhs=")</f>
        <v>#REF!</v>
      </c>
      <c r="AC35" s="1" t="e">
        <f>AND(#REF!,"AAAAAHPJfhw=")</f>
        <v>#REF!</v>
      </c>
      <c r="AD35" s="1" t="e">
        <f>AND(#REF!,"AAAAAHPJfh0=")</f>
        <v>#REF!</v>
      </c>
      <c r="AE35" s="1" t="e">
        <f>AND(#REF!,"AAAAAHPJfh4=")</f>
        <v>#REF!</v>
      </c>
      <c r="AF35" s="1" t="e">
        <f>AND(#REF!,"AAAAAHPJfh8=")</f>
        <v>#REF!</v>
      </c>
      <c r="AG35" s="1" t="e">
        <f>AND(#REF!,"AAAAAHPJfiA=")</f>
        <v>#REF!</v>
      </c>
      <c r="AH35" s="1" t="e">
        <f>AND(#REF!,"AAAAAHPJfiE=")</f>
        <v>#REF!</v>
      </c>
      <c r="AI35" s="1" t="e">
        <f>AND(#REF!,"AAAAAHPJfiI=")</f>
        <v>#REF!</v>
      </c>
      <c r="AJ35" s="1" t="e">
        <f>AND(#REF!,"AAAAAHPJfiM=")</f>
        <v>#REF!</v>
      </c>
      <c r="AK35" s="1" t="e">
        <f>AND(#REF!,"AAAAAHPJfiQ=")</f>
        <v>#REF!</v>
      </c>
      <c r="AL35" s="1" t="e">
        <f>AND(#REF!,"AAAAAHPJfiU=")</f>
        <v>#REF!</v>
      </c>
      <c r="AM35" s="1" t="e">
        <f>AND(#REF!,"AAAAAHPJfiY=")</f>
        <v>#REF!</v>
      </c>
      <c r="AN35" s="1" t="e">
        <f>AND(#REF!,"AAAAAHPJfic=")</f>
        <v>#REF!</v>
      </c>
      <c r="AO35" s="1" t="e">
        <f>AND(#REF!,"AAAAAHPJfig=")</f>
        <v>#REF!</v>
      </c>
      <c r="AP35" s="1" t="e">
        <f>AND(#REF!,"AAAAAHPJfik=")</f>
        <v>#REF!</v>
      </c>
      <c r="AQ35" s="1" t="e">
        <f>AND(#REF!,"AAAAAHPJfio=")</f>
        <v>#REF!</v>
      </c>
      <c r="AR35" s="1" t="e">
        <f>AND(#REF!,"AAAAAHPJfis=")</f>
        <v>#REF!</v>
      </c>
      <c r="AS35" s="1" t="e">
        <f>AND(#REF!,"AAAAAHPJfiw=")</f>
        <v>#REF!</v>
      </c>
      <c r="AT35" s="1" t="e">
        <f>AND(#REF!,"AAAAAHPJfi0=")</f>
        <v>#REF!</v>
      </c>
      <c r="AU35" s="1" t="e">
        <f>AND(#REF!,"AAAAAHPJfi4=")</f>
        <v>#REF!</v>
      </c>
      <c r="AV35" s="1" t="e">
        <f>AND(#REF!,"AAAAAHPJfi8=")</f>
        <v>#REF!</v>
      </c>
      <c r="AW35" s="1" t="e">
        <f>AND(#REF!,"AAAAAHPJfjA=")</f>
        <v>#REF!</v>
      </c>
      <c r="AX35" s="1" t="e">
        <f>AND(#REF!,"AAAAAHPJfjE=")</f>
        <v>#REF!</v>
      </c>
      <c r="AY35" s="1" t="e">
        <f>AND(#REF!,"AAAAAHPJfjI=")</f>
        <v>#REF!</v>
      </c>
      <c r="AZ35" s="1" t="e">
        <f>AND(#REF!,"AAAAAHPJfjM=")</f>
        <v>#REF!</v>
      </c>
      <c r="BA35" s="1" t="e">
        <f>AND(#REF!,"AAAAAHPJfjQ=")</f>
        <v>#REF!</v>
      </c>
      <c r="BB35" s="1" t="e">
        <f>AND(#REF!,"AAAAAHPJfjU=")</f>
        <v>#REF!</v>
      </c>
      <c r="BC35" s="1" t="e">
        <f>AND(#REF!,"AAAAAHPJfjY=")</f>
        <v>#REF!</v>
      </c>
      <c r="BD35" s="1" t="e">
        <f>AND(#REF!,"AAAAAHPJfjc=")</f>
        <v>#REF!</v>
      </c>
      <c r="BE35" s="1" t="e">
        <f>AND(#REF!,"AAAAAHPJfjg=")</f>
        <v>#REF!</v>
      </c>
      <c r="BF35" s="1" t="e">
        <f>AND(#REF!,"AAAAAHPJfjk=")</f>
        <v>#REF!</v>
      </c>
      <c r="BG35" s="1" t="e">
        <f>AND(#REF!,"AAAAAHPJfjo=")</f>
        <v>#REF!</v>
      </c>
      <c r="BH35" s="1" t="e">
        <f>AND(#REF!,"AAAAAHPJfjs=")</f>
        <v>#REF!</v>
      </c>
      <c r="BI35" s="1" t="e">
        <f>AND(#REF!,"AAAAAHPJfjw=")</f>
        <v>#REF!</v>
      </c>
      <c r="BJ35" s="1" t="e">
        <f>AND(#REF!,"AAAAAHPJfj0=")</f>
        <v>#REF!</v>
      </c>
      <c r="BK35" s="1" t="e">
        <f>AND(#REF!,"AAAAAHPJfj4=")</f>
        <v>#REF!</v>
      </c>
      <c r="BL35" s="1" t="e">
        <f>AND(#REF!,"AAAAAHPJfj8=")</f>
        <v>#REF!</v>
      </c>
      <c r="BM35" s="1" t="e">
        <f>AND(#REF!,"AAAAAHPJfkA=")</f>
        <v>#REF!</v>
      </c>
      <c r="BN35" s="1" t="e">
        <f>AND(#REF!,"AAAAAHPJfkE=")</f>
        <v>#REF!</v>
      </c>
      <c r="BO35" s="1" t="e">
        <f>AND(#REF!,"AAAAAHPJfkI=")</f>
        <v>#REF!</v>
      </c>
      <c r="BP35" s="1" t="e">
        <f>AND(#REF!,"AAAAAHPJfkM=")</f>
        <v>#REF!</v>
      </c>
      <c r="BQ35" s="1" t="e">
        <f>AND(#REF!,"AAAAAHPJfkQ=")</f>
        <v>#REF!</v>
      </c>
      <c r="BR35" s="1" t="e">
        <f>AND(#REF!,"AAAAAHPJfkU=")</f>
        <v>#REF!</v>
      </c>
      <c r="BS35" s="1" t="e">
        <f>AND(#REF!,"AAAAAHPJfkY=")</f>
        <v>#REF!</v>
      </c>
      <c r="BT35" s="1" t="e">
        <f>AND(#REF!,"AAAAAHPJfkc=")</f>
        <v>#REF!</v>
      </c>
      <c r="BU35" s="1" t="e">
        <f>AND(#REF!,"AAAAAHPJfkg=")</f>
        <v>#REF!</v>
      </c>
      <c r="BV35" s="1" t="e">
        <f>AND(#REF!,"AAAAAHPJfkk=")</f>
        <v>#REF!</v>
      </c>
      <c r="BW35" s="1" t="e">
        <f>AND(#REF!,"AAAAAHPJfko=")</f>
        <v>#REF!</v>
      </c>
      <c r="BX35" s="1" t="e">
        <f>AND(#REF!,"AAAAAHPJfks=")</f>
        <v>#REF!</v>
      </c>
      <c r="BY35" s="1" t="e">
        <f>AND(#REF!,"AAAAAHPJfkw=")</f>
        <v>#REF!</v>
      </c>
      <c r="BZ35" s="1" t="e">
        <f>AND(#REF!,"AAAAAHPJfk0=")</f>
        <v>#REF!</v>
      </c>
      <c r="CA35" s="1" t="e">
        <f>AND(#REF!,"AAAAAHPJfk4=")</f>
        <v>#REF!</v>
      </c>
      <c r="CB35" s="1" t="e">
        <f>AND(#REF!,"AAAAAHPJfk8=")</f>
        <v>#REF!</v>
      </c>
      <c r="CC35" s="1" t="e">
        <f>AND(#REF!,"AAAAAHPJflA=")</f>
        <v>#REF!</v>
      </c>
      <c r="CD35" s="1" t="e">
        <f>AND(#REF!,"AAAAAHPJflE=")</f>
        <v>#REF!</v>
      </c>
      <c r="CE35" s="1" t="e">
        <f>AND(#REF!,"AAAAAHPJflI=")</f>
        <v>#REF!</v>
      </c>
      <c r="CF35" s="1" t="e">
        <f>AND(#REF!,"AAAAAHPJflM=")</f>
        <v>#REF!</v>
      </c>
      <c r="CG35" s="1" t="e">
        <f>AND(#REF!,"AAAAAHPJflQ=")</f>
        <v>#REF!</v>
      </c>
      <c r="CH35" s="1" t="e">
        <f>AND(#REF!,"AAAAAHPJflU=")</f>
        <v>#REF!</v>
      </c>
      <c r="CI35" s="1" t="e">
        <f>AND(#REF!,"AAAAAHPJflY=")</f>
        <v>#REF!</v>
      </c>
      <c r="CJ35" s="1" t="e">
        <f>AND(#REF!,"AAAAAHPJflc=")</f>
        <v>#REF!</v>
      </c>
      <c r="CK35" s="1" t="e">
        <f>AND(#REF!,"AAAAAHPJflg=")</f>
        <v>#REF!</v>
      </c>
      <c r="CL35" s="1" t="e">
        <f>AND(#REF!,"AAAAAHPJflk=")</f>
        <v>#REF!</v>
      </c>
      <c r="CM35" s="1" t="e">
        <f>AND(#REF!,"AAAAAHPJflo=")</f>
        <v>#REF!</v>
      </c>
      <c r="CN35" s="1" t="e">
        <f>AND(#REF!,"AAAAAHPJfls=")</f>
        <v>#REF!</v>
      </c>
      <c r="CO35" s="1" t="e">
        <f>AND(#REF!,"AAAAAHPJflw=")</f>
        <v>#REF!</v>
      </c>
      <c r="CP35" s="1" t="e">
        <f>AND(#REF!,"AAAAAHPJfl0=")</f>
        <v>#REF!</v>
      </c>
      <c r="CQ35" s="1" t="e">
        <f>AND(#REF!,"AAAAAHPJfl4=")</f>
        <v>#REF!</v>
      </c>
      <c r="CR35" s="1" t="e">
        <f>AND(#REF!,"AAAAAHPJfl8=")</f>
        <v>#REF!</v>
      </c>
      <c r="CS35" s="1" t="e">
        <f>AND(#REF!,"AAAAAHPJfmA=")</f>
        <v>#REF!</v>
      </c>
      <c r="CT35" s="1" t="e">
        <f>AND(#REF!,"AAAAAHPJfmE=")</f>
        <v>#REF!</v>
      </c>
      <c r="CU35" s="1" t="e">
        <f>AND(#REF!,"AAAAAHPJfmI=")</f>
        <v>#REF!</v>
      </c>
      <c r="CV35" s="1" t="e">
        <f>AND(#REF!,"AAAAAHPJfmM=")</f>
        <v>#REF!</v>
      </c>
      <c r="CW35" s="1" t="e">
        <f>AND(#REF!,"AAAAAHPJfmQ=")</f>
        <v>#REF!</v>
      </c>
      <c r="CX35" s="1" t="e">
        <f>AND(#REF!,"AAAAAHPJfmU=")</f>
        <v>#REF!</v>
      </c>
      <c r="CY35" s="1" t="e">
        <f>AND(#REF!,"AAAAAHPJfmY=")</f>
        <v>#REF!</v>
      </c>
      <c r="CZ35" s="1" t="e">
        <f>AND(#REF!,"AAAAAHPJfmc=")</f>
        <v>#REF!</v>
      </c>
      <c r="DA35" s="1" t="e">
        <f>AND(#REF!,"AAAAAHPJfmg=")</f>
        <v>#REF!</v>
      </c>
      <c r="DB35" s="1" t="e">
        <f>IF(#REF!,"AAAAAHPJfmk=",0)</f>
        <v>#REF!</v>
      </c>
      <c r="DC35" s="1" t="e">
        <f>AND(#REF!,"AAAAAHPJfmo=")</f>
        <v>#REF!</v>
      </c>
      <c r="DD35" s="1" t="e">
        <f>AND(#REF!,"AAAAAHPJfms=")</f>
        <v>#REF!</v>
      </c>
      <c r="DE35" s="1" t="e">
        <f>AND(#REF!,"AAAAAHPJfmw=")</f>
        <v>#REF!</v>
      </c>
      <c r="DF35" s="1" t="e">
        <f>AND(#REF!,"AAAAAHPJfm0=")</f>
        <v>#REF!</v>
      </c>
      <c r="DG35" s="1" t="e">
        <f>AND(#REF!,"AAAAAHPJfm4=")</f>
        <v>#REF!</v>
      </c>
      <c r="DH35" s="1" t="e">
        <f>AND(#REF!,"AAAAAHPJfm8=")</f>
        <v>#REF!</v>
      </c>
      <c r="DI35" s="1" t="e">
        <f>AND(#REF!,"AAAAAHPJfnA=")</f>
        <v>#REF!</v>
      </c>
      <c r="DJ35" s="1" t="e">
        <f>AND(#REF!,"AAAAAHPJfnE=")</f>
        <v>#REF!</v>
      </c>
      <c r="DK35" s="1" t="e">
        <f>AND(#REF!,"AAAAAHPJfnI=")</f>
        <v>#REF!</v>
      </c>
      <c r="DL35" s="1" t="e">
        <f>AND(#REF!,"AAAAAHPJfnM=")</f>
        <v>#REF!</v>
      </c>
      <c r="DM35" s="1" t="e">
        <f>AND(#REF!,"AAAAAHPJfnQ=")</f>
        <v>#REF!</v>
      </c>
      <c r="DN35" s="1" t="e">
        <f>AND(#REF!,"AAAAAHPJfnU=")</f>
        <v>#REF!</v>
      </c>
      <c r="DO35" s="1" t="e">
        <f>AND(#REF!,"AAAAAHPJfnY=")</f>
        <v>#REF!</v>
      </c>
      <c r="DP35" s="1" t="e">
        <f>AND(#REF!,"AAAAAHPJfnc=")</f>
        <v>#REF!</v>
      </c>
      <c r="DQ35" s="1" t="e">
        <f>AND(#REF!,"AAAAAHPJfng=")</f>
        <v>#REF!</v>
      </c>
      <c r="DR35" s="1" t="e">
        <f>AND(#REF!,"AAAAAHPJfnk=")</f>
        <v>#REF!</v>
      </c>
      <c r="DS35" s="1" t="e">
        <f>AND(#REF!,"AAAAAHPJfno=")</f>
        <v>#REF!</v>
      </c>
      <c r="DT35" s="1" t="e">
        <f>AND(#REF!,"AAAAAHPJfns=")</f>
        <v>#REF!</v>
      </c>
      <c r="DU35" s="1" t="e">
        <f>AND(#REF!,"AAAAAHPJfnw=")</f>
        <v>#REF!</v>
      </c>
      <c r="DV35" s="1" t="e">
        <f>AND(#REF!,"AAAAAHPJfn0=")</f>
        <v>#REF!</v>
      </c>
      <c r="DW35" s="1" t="e">
        <f>AND(#REF!,"AAAAAHPJfn4=")</f>
        <v>#REF!</v>
      </c>
      <c r="DX35" s="1" t="e">
        <f>AND(#REF!,"AAAAAHPJfn8=")</f>
        <v>#REF!</v>
      </c>
      <c r="DY35" s="1" t="e">
        <f>AND(#REF!,"AAAAAHPJfoA=")</f>
        <v>#REF!</v>
      </c>
      <c r="DZ35" s="1" t="e">
        <f>AND(#REF!,"AAAAAHPJfoE=")</f>
        <v>#REF!</v>
      </c>
      <c r="EA35" s="1" t="e">
        <f>AND(#REF!,"AAAAAHPJfoI=")</f>
        <v>#REF!</v>
      </c>
      <c r="EB35" s="1" t="e">
        <f>AND(#REF!,"AAAAAHPJfoM=")</f>
        <v>#REF!</v>
      </c>
      <c r="EC35" s="1" t="e">
        <f>AND(#REF!,"AAAAAHPJfoQ=")</f>
        <v>#REF!</v>
      </c>
      <c r="ED35" s="1" t="e">
        <f>AND(#REF!,"AAAAAHPJfoU=")</f>
        <v>#REF!</v>
      </c>
      <c r="EE35" s="1" t="e">
        <f>AND(#REF!,"AAAAAHPJfoY=")</f>
        <v>#REF!</v>
      </c>
      <c r="EF35" s="1" t="e">
        <f>AND(#REF!,"AAAAAHPJfoc=")</f>
        <v>#REF!</v>
      </c>
      <c r="EG35" s="1" t="e">
        <f>AND(#REF!,"AAAAAHPJfog=")</f>
        <v>#REF!</v>
      </c>
      <c r="EH35" s="1" t="e">
        <f>AND(#REF!,"AAAAAHPJfok=")</f>
        <v>#REF!</v>
      </c>
      <c r="EI35" s="1" t="e">
        <f>AND(#REF!,"AAAAAHPJfoo=")</f>
        <v>#REF!</v>
      </c>
      <c r="EJ35" s="1" t="e">
        <f>AND(#REF!,"AAAAAHPJfos=")</f>
        <v>#REF!</v>
      </c>
      <c r="EK35" s="1" t="e">
        <f>AND(#REF!,"AAAAAHPJfow=")</f>
        <v>#REF!</v>
      </c>
      <c r="EL35" s="1" t="e">
        <f>AND(#REF!,"AAAAAHPJfo0=")</f>
        <v>#REF!</v>
      </c>
      <c r="EM35" s="1" t="e">
        <f>AND(#REF!,"AAAAAHPJfo4=")</f>
        <v>#REF!</v>
      </c>
      <c r="EN35" s="1" t="e">
        <f>AND(#REF!,"AAAAAHPJfo8=")</f>
        <v>#REF!</v>
      </c>
      <c r="EO35" s="1" t="e">
        <f>AND(#REF!,"AAAAAHPJfpA=")</f>
        <v>#REF!</v>
      </c>
      <c r="EP35" s="1" t="e">
        <f>AND(#REF!,"AAAAAHPJfpE=")</f>
        <v>#REF!</v>
      </c>
      <c r="EQ35" s="1" t="e">
        <f>AND(#REF!,"AAAAAHPJfpI=")</f>
        <v>#REF!</v>
      </c>
      <c r="ER35" s="1" t="e">
        <f>AND(#REF!,"AAAAAHPJfpM=")</f>
        <v>#REF!</v>
      </c>
      <c r="ES35" s="1" t="e">
        <f>AND(#REF!,"AAAAAHPJfpQ=")</f>
        <v>#REF!</v>
      </c>
      <c r="ET35" s="1" t="e">
        <f>AND(#REF!,"AAAAAHPJfpU=")</f>
        <v>#REF!</v>
      </c>
      <c r="EU35" s="1" t="e">
        <f>AND(#REF!,"AAAAAHPJfpY=")</f>
        <v>#REF!</v>
      </c>
      <c r="EV35" s="1" t="e">
        <f>AND(#REF!,"AAAAAHPJfpc=")</f>
        <v>#REF!</v>
      </c>
      <c r="EW35" s="1" t="e">
        <f>AND(#REF!,"AAAAAHPJfpg=")</f>
        <v>#REF!</v>
      </c>
      <c r="EX35" s="1" t="e">
        <f>AND(#REF!,"AAAAAHPJfpk=")</f>
        <v>#REF!</v>
      </c>
      <c r="EY35" s="1" t="e">
        <f>AND(#REF!,"AAAAAHPJfpo=")</f>
        <v>#REF!</v>
      </c>
      <c r="EZ35" s="1" t="e">
        <f>AND(#REF!,"AAAAAHPJfps=")</f>
        <v>#REF!</v>
      </c>
      <c r="FA35" s="1" t="e">
        <f>AND(#REF!,"AAAAAHPJfpw=")</f>
        <v>#REF!</v>
      </c>
      <c r="FB35" s="1" t="e">
        <f>AND(#REF!,"AAAAAHPJfp0=")</f>
        <v>#REF!</v>
      </c>
      <c r="FC35" s="1" t="e">
        <f>AND(#REF!,"AAAAAHPJfp4=")</f>
        <v>#REF!</v>
      </c>
      <c r="FD35" s="1" t="e">
        <f>AND(#REF!,"AAAAAHPJfp8=")</f>
        <v>#REF!</v>
      </c>
      <c r="FE35" s="1" t="e">
        <f>AND(#REF!,"AAAAAHPJfqA=")</f>
        <v>#REF!</v>
      </c>
      <c r="FF35" s="1" t="e">
        <f>AND(#REF!,"AAAAAHPJfqE=")</f>
        <v>#REF!</v>
      </c>
      <c r="FG35" s="1" t="e">
        <f>AND(#REF!,"AAAAAHPJfqI=")</f>
        <v>#REF!</v>
      </c>
      <c r="FH35" s="1" t="e">
        <f>AND(#REF!,"AAAAAHPJfqM=")</f>
        <v>#REF!</v>
      </c>
      <c r="FI35" s="1" t="e">
        <f>AND(#REF!,"AAAAAHPJfqQ=")</f>
        <v>#REF!</v>
      </c>
      <c r="FJ35" s="1" t="e">
        <f>AND(#REF!,"AAAAAHPJfqU=")</f>
        <v>#REF!</v>
      </c>
      <c r="FK35" s="1" t="e">
        <f>AND(#REF!,"AAAAAHPJfqY=")</f>
        <v>#REF!</v>
      </c>
      <c r="FL35" s="1" t="e">
        <f>AND(#REF!,"AAAAAHPJfqc=")</f>
        <v>#REF!</v>
      </c>
      <c r="FM35" s="1" t="e">
        <f>AND(#REF!,"AAAAAHPJfqg=")</f>
        <v>#REF!</v>
      </c>
      <c r="FN35" s="1" t="e">
        <f>AND(#REF!,"AAAAAHPJfqk=")</f>
        <v>#REF!</v>
      </c>
      <c r="FO35" s="1" t="e">
        <f>AND(#REF!,"AAAAAHPJfqo=")</f>
        <v>#REF!</v>
      </c>
      <c r="FP35" s="1" t="e">
        <f>AND(#REF!,"AAAAAHPJfqs=")</f>
        <v>#REF!</v>
      </c>
      <c r="FQ35" s="1" t="e">
        <f>AND(#REF!,"AAAAAHPJfqw=")</f>
        <v>#REF!</v>
      </c>
      <c r="FR35" s="1" t="e">
        <f>AND(#REF!,"AAAAAHPJfq0=")</f>
        <v>#REF!</v>
      </c>
      <c r="FS35" s="1" t="e">
        <f>AND(#REF!,"AAAAAHPJfq4=")</f>
        <v>#REF!</v>
      </c>
      <c r="FT35" s="1" t="e">
        <f>AND(#REF!,"AAAAAHPJfq8=")</f>
        <v>#REF!</v>
      </c>
      <c r="FU35" s="1" t="e">
        <f>AND(#REF!,"AAAAAHPJfrA=")</f>
        <v>#REF!</v>
      </c>
      <c r="FV35" s="1" t="e">
        <f>AND(#REF!,"AAAAAHPJfrE=")</f>
        <v>#REF!</v>
      </c>
      <c r="FW35" s="1" t="e">
        <f>AND(#REF!,"AAAAAHPJfrI=")</f>
        <v>#REF!</v>
      </c>
      <c r="FX35" s="1" t="e">
        <f>AND(#REF!,"AAAAAHPJfrM=")</f>
        <v>#REF!</v>
      </c>
      <c r="FY35" s="1" t="e">
        <f>AND(#REF!,"AAAAAHPJfrQ=")</f>
        <v>#REF!</v>
      </c>
      <c r="FZ35" s="1" t="e">
        <f>AND(#REF!,"AAAAAHPJfrU=")</f>
        <v>#REF!</v>
      </c>
      <c r="GA35" s="1" t="e">
        <f>AND(#REF!,"AAAAAHPJfrY=")</f>
        <v>#REF!</v>
      </c>
      <c r="GB35" s="1" t="e">
        <f>AND(#REF!,"AAAAAHPJfrc=")</f>
        <v>#REF!</v>
      </c>
      <c r="GC35" s="1" t="e">
        <f>AND(#REF!,"AAAAAHPJfrg=")</f>
        <v>#REF!</v>
      </c>
      <c r="GD35" s="1" t="e">
        <f>AND(#REF!,"AAAAAHPJfrk=")</f>
        <v>#REF!</v>
      </c>
      <c r="GE35" s="1" t="e">
        <f>AND(#REF!,"AAAAAHPJfro=")</f>
        <v>#REF!</v>
      </c>
      <c r="GF35" s="1" t="e">
        <f>AND(#REF!,"AAAAAHPJfrs=")</f>
        <v>#REF!</v>
      </c>
      <c r="GG35" s="1" t="e">
        <f>AND(#REF!,"AAAAAHPJfrw=")</f>
        <v>#REF!</v>
      </c>
      <c r="GH35" s="1" t="e">
        <f>AND(#REF!,"AAAAAHPJfr0=")</f>
        <v>#REF!</v>
      </c>
      <c r="GI35" s="1" t="e">
        <f>AND(#REF!,"AAAAAHPJfr4=")</f>
        <v>#REF!</v>
      </c>
      <c r="GJ35" s="1" t="e">
        <f>AND(#REF!,"AAAAAHPJfr8=")</f>
        <v>#REF!</v>
      </c>
      <c r="GK35" s="1" t="e">
        <f>AND(#REF!,"AAAAAHPJfsA=")</f>
        <v>#REF!</v>
      </c>
      <c r="GL35" s="1" t="e">
        <f>AND(#REF!,"AAAAAHPJfsE=")</f>
        <v>#REF!</v>
      </c>
      <c r="GM35" s="1" t="e">
        <f>AND(#REF!,"AAAAAHPJfsI=")</f>
        <v>#REF!</v>
      </c>
      <c r="GN35" s="1" t="e">
        <f>AND(#REF!,"AAAAAHPJfsM=")</f>
        <v>#REF!</v>
      </c>
      <c r="GO35" s="1" t="e">
        <f>AND(#REF!,"AAAAAHPJfsQ=")</f>
        <v>#REF!</v>
      </c>
      <c r="GP35" s="1" t="e">
        <f>AND(#REF!,"AAAAAHPJfsU=")</f>
        <v>#REF!</v>
      </c>
      <c r="GQ35" s="1" t="e">
        <f>AND(#REF!,"AAAAAHPJfsY=")</f>
        <v>#REF!</v>
      </c>
      <c r="GR35" s="1" t="e">
        <f>AND(#REF!,"AAAAAHPJfsc=")</f>
        <v>#REF!</v>
      </c>
      <c r="GS35" s="1" t="e">
        <f>AND(#REF!,"AAAAAHPJfsg=")</f>
        <v>#REF!</v>
      </c>
      <c r="GT35" s="1" t="e">
        <f>AND(#REF!,"AAAAAHPJfsk=")</f>
        <v>#REF!</v>
      </c>
      <c r="GU35" s="1" t="e">
        <f>AND(#REF!,"AAAAAHPJfso=")</f>
        <v>#REF!</v>
      </c>
      <c r="GV35" s="1" t="e">
        <f>AND(#REF!,"AAAAAHPJfss=")</f>
        <v>#REF!</v>
      </c>
      <c r="GW35" s="1" t="e">
        <f>AND(#REF!,"AAAAAHPJfsw=")</f>
        <v>#REF!</v>
      </c>
      <c r="GX35" s="1" t="e">
        <f>AND(#REF!,"AAAAAHPJfs0=")</f>
        <v>#REF!</v>
      </c>
      <c r="GY35" s="1" t="e">
        <f>AND(#REF!,"AAAAAHPJfs4=")</f>
        <v>#REF!</v>
      </c>
      <c r="GZ35" s="1" t="e">
        <f>AND(#REF!,"AAAAAHPJfs8=")</f>
        <v>#REF!</v>
      </c>
      <c r="HA35" s="1" t="e">
        <f>IF(#REF!,"AAAAAHPJftA=",0)</f>
        <v>#REF!</v>
      </c>
      <c r="HB35" s="1" t="e">
        <f>AND(#REF!,"AAAAAHPJftE=")</f>
        <v>#REF!</v>
      </c>
      <c r="HC35" s="1" t="e">
        <f>AND(#REF!,"AAAAAHPJftI=")</f>
        <v>#REF!</v>
      </c>
      <c r="HD35" s="1" t="e">
        <f>AND(#REF!,"AAAAAHPJftM=")</f>
        <v>#REF!</v>
      </c>
      <c r="HE35" s="1" t="e">
        <f>AND(#REF!,"AAAAAHPJftQ=")</f>
        <v>#REF!</v>
      </c>
      <c r="HF35" s="1" t="e">
        <f>AND(#REF!,"AAAAAHPJftU=")</f>
        <v>#REF!</v>
      </c>
      <c r="HG35" s="1" t="e">
        <f>AND(#REF!,"AAAAAHPJftY=")</f>
        <v>#REF!</v>
      </c>
      <c r="HH35" s="1" t="e">
        <f>AND(#REF!,"AAAAAHPJftc=")</f>
        <v>#REF!</v>
      </c>
      <c r="HI35" s="1" t="e">
        <f>AND(#REF!,"AAAAAHPJftg=")</f>
        <v>#REF!</v>
      </c>
      <c r="HJ35" s="1" t="e">
        <f>AND(#REF!,"AAAAAHPJftk=")</f>
        <v>#REF!</v>
      </c>
      <c r="HK35" s="1" t="e">
        <f>AND(#REF!,"AAAAAHPJfto=")</f>
        <v>#REF!</v>
      </c>
      <c r="HL35" s="1" t="e">
        <f>AND(#REF!,"AAAAAHPJfts=")</f>
        <v>#REF!</v>
      </c>
      <c r="HM35" s="1" t="e">
        <f>AND(#REF!,"AAAAAHPJftw=")</f>
        <v>#REF!</v>
      </c>
      <c r="HN35" s="1" t="e">
        <f>AND(#REF!,"AAAAAHPJft0=")</f>
        <v>#REF!</v>
      </c>
      <c r="HO35" s="1" t="e">
        <f>AND(#REF!,"AAAAAHPJft4=")</f>
        <v>#REF!</v>
      </c>
      <c r="HP35" s="1" t="e">
        <f>AND(#REF!,"AAAAAHPJft8=")</f>
        <v>#REF!</v>
      </c>
      <c r="HQ35" s="1" t="e">
        <f>AND(#REF!,"AAAAAHPJfuA=")</f>
        <v>#REF!</v>
      </c>
      <c r="HR35" s="1" t="e">
        <f>AND(#REF!,"AAAAAHPJfuE=")</f>
        <v>#REF!</v>
      </c>
      <c r="HS35" s="1" t="e">
        <f>AND(#REF!,"AAAAAHPJfuI=")</f>
        <v>#REF!</v>
      </c>
      <c r="HT35" s="1" t="e">
        <f>AND(#REF!,"AAAAAHPJfuM=")</f>
        <v>#REF!</v>
      </c>
      <c r="HU35" s="1" t="e">
        <f>AND(#REF!,"AAAAAHPJfuQ=")</f>
        <v>#REF!</v>
      </c>
      <c r="HV35" s="1" t="e">
        <f>AND(#REF!,"AAAAAHPJfuU=")</f>
        <v>#REF!</v>
      </c>
      <c r="HW35" s="1" t="e">
        <f>AND(#REF!,"AAAAAHPJfuY=")</f>
        <v>#REF!</v>
      </c>
      <c r="HX35" s="1" t="e">
        <f>AND(#REF!,"AAAAAHPJfuc=")</f>
        <v>#REF!</v>
      </c>
      <c r="HY35" s="1" t="e">
        <f>AND(#REF!,"AAAAAHPJfug=")</f>
        <v>#REF!</v>
      </c>
      <c r="HZ35" s="1" t="e">
        <f>AND(#REF!,"AAAAAHPJfuk=")</f>
        <v>#REF!</v>
      </c>
      <c r="IA35" s="1" t="e">
        <f>AND(#REF!,"AAAAAHPJfuo=")</f>
        <v>#REF!</v>
      </c>
      <c r="IB35" s="1" t="e">
        <f>AND(#REF!,"AAAAAHPJfus=")</f>
        <v>#REF!</v>
      </c>
      <c r="IC35" s="1" t="e">
        <f>AND(#REF!,"AAAAAHPJfuw=")</f>
        <v>#REF!</v>
      </c>
      <c r="ID35" s="1" t="e">
        <f>AND(#REF!,"AAAAAHPJfu0=")</f>
        <v>#REF!</v>
      </c>
      <c r="IE35" s="1" t="e">
        <f>AND(#REF!,"AAAAAHPJfu4=")</f>
        <v>#REF!</v>
      </c>
      <c r="IF35" s="1" t="e">
        <f>AND(#REF!,"AAAAAHPJfu8=")</f>
        <v>#REF!</v>
      </c>
      <c r="IG35" s="1" t="e">
        <f>AND(#REF!,"AAAAAHPJfvA=")</f>
        <v>#REF!</v>
      </c>
      <c r="IH35" s="1" t="e">
        <f>AND(#REF!,"AAAAAHPJfvE=")</f>
        <v>#REF!</v>
      </c>
      <c r="II35" s="1" t="e">
        <f>AND(#REF!,"AAAAAHPJfvI=")</f>
        <v>#REF!</v>
      </c>
      <c r="IJ35" s="1" t="e">
        <f>AND(#REF!,"AAAAAHPJfvM=")</f>
        <v>#REF!</v>
      </c>
      <c r="IK35" s="1" t="e">
        <f>AND(#REF!,"AAAAAHPJfvQ=")</f>
        <v>#REF!</v>
      </c>
      <c r="IL35" s="1" t="e">
        <f>AND(#REF!,"AAAAAHPJfvU=")</f>
        <v>#REF!</v>
      </c>
      <c r="IM35" s="1" t="e">
        <f>AND(#REF!,"AAAAAHPJfvY=")</f>
        <v>#REF!</v>
      </c>
      <c r="IN35" s="1" t="e">
        <f>AND(#REF!,"AAAAAHPJfvc=")</f>
        <v>#REF!</v>
      </c>
      <c r="IO35" s="1" t="e">
        <f>AND(#REF!,"AAAAAHPJfvg=")</f>
        <v>#REF!</v>
      </c>
      <c r="IP35" s="1" t="e">
        <f>AND(#REF!,"AAAAAHPJfvk=")</f>
        <v>#REF!</v>
      </c>
      <c r="IQ35" s="1" t="e">
        <f>AND(#REF!,"AAAAAHPJfvo=")</f>
        <v>#REF!</v>
      </c>
      <c r="IR35" s="1" t="e">
        <f>AND(#REF!,"AAAAAHPJfvs=")</f>
        <v>#REF!</v>
      </c>
      <c r="IS35" s="1" t="e">
        <f>AND(#REF!,"AAAAAHPJfvw=")</f>
        <v>#REF!</v>
      </c>
      <c r="IT35" s="1" t="e">
        <f>AND(#REF!,"AAAAAHPJfv0=")</f>
        <v>#REF!</v>
      </c>
      <c r="IU35" s="1" t="e">
        <f>AND(#REF!,"AAAAAHPJfv4=")</f>
        <v>#REF!</v>
      </c>
      <c r="IV35" s="1" t="e">
        <f>AND(#REF!,"AAAAAHPJfv8=")</f>
        <v>#REF!</v>
      </c>
    </row>
    <row r="36" spans="1:256" ht="15" customHeight="1" x14ac:dyDescent="0.2">
      <c r="A36" s="1" t="e">
        <f>AND(#REF!,"AAAAAHpv3wA=")</f>
        <v>#REF!</v>
      </c>
      <c r="B36" s="1" t="e">
        <f>AND(#REF!,"AAAAAHpv3wE=")</f>
        <v>#REF!</v>
      </c>
      <c r="C36" s="1" t="e">
        <f>AND(#REF!,"AAAAAHpv3wI=")</f>
        <v>#REF!</v>
      </c>
      <c r="D36" s="1" t="e">
        <f>AND(#REF!,"AAAAAHpv3wM=")</f>
        <v>#REF!</v>
      </c>
      <c r="E36" s="1" t="e">
        <f>AND(#REF!,"AAAAAHpv3wQ=")</f>
        <v>#REF!</v>
      </c>
      <c r="F36" s="1" t="e">
        <f>AND(#REF!,"AAAAAHpv3wU=")</f>
        <v>#REF!</v>
      </c>
      <c r="G36" s="1" t="e">
        <f>AND(#REF!,"AAAAAHpv3wY=")</f>
        <v>#REF!</v>
      </c>
      <c r="H36" s="1" t="e">
        <f>AND(#REF!,"AAAAAHpv3wc=")</f>
        <v>#REF!</v>
      </c>
      <c r="I36" s="1" t="e">
        <f>AND(#REF!,"AAAAAHpv3wg=")</f>
        <v>#REF!</v>
      </c>
      <c r="J36" s="1" t="e">
        <f>AND(#REF!,"AAAAAHpv3wk=")</f>
        <v>#REF!</v>
      </c>
      <c r="K36" s="1" t="e">
        <f>AND(#REF!,"AAAAAHpv3wo=")</f>
        <v>#REF!</v>
      </c>
      <c r="L36" s="1" t="e">
        <f>AND(#REF!,"AAAAAHpv3ws=")</f>
        <v>#REF!</v>
      </c>
      <c r="M36" s="1" t="e">
        <f>AND(#REF!,"AAAAAHpv3ww=")</f>
        <v>#REF!</v>
      </c>
      <c r="N36" s="1" t="e">
        <f>AND(#REF!,"AAAAAHpv3w0=")</f>
        <v>#REF!</v>
      </c>
      <c r="O36" s="1" t="e">
        <f>AND(#REF!,"AAAAAHpv3w4=")</f>
        <v>#REF!</v>
      </c>
      <c r="P36" s="1" t="e">
        <f>AND(#REF!,"AAAAAHpv3w8=")</f>
        <v>#REF!</v>
      </c>
      <c r="Q36" s="1" t="e">
        <f>AND(#REF!,"AAAAAHpv3xA=")</f>
        <v>#REF!</v>
      </c>
      <c r="R36" s="1" t="e">
        <f>AND(#REF!,"AAAAAHpv3xE=")</f>
        <v>#REF!</v>
      </c>
      <c r="S36" s="1" t="e">
        <f>AND(#REF!,"AAAAAHpv3xI=")</f>
        <v>#REF!</v>
      </c>
      <c r="T36" s="1" t="e">
        <f>AND(#REF!,"AAAAAHpv3xM=")</f>
        <v>#REF!</v>
      </c>
      <c r="U36" s="1" t="e">
        <f>AND(#REF!,"AAAAAHpv3xQ=")</f>
        <v>#REF!</v>
      </c>
      <c r="V36" s="1" t="e">
        <f>AND(#REF!,"AAAAAHpv3xU=")</f>
        <v>#REF!</v>
      </c>
      <c r="W36" s="1" t="e">
        <f>AND(#REF!,"AAAAAHpv3xY=")</f>
        <v>#REF!</v>
      </c>
      <c r="X36" s="1" t="e">
        <f>AND(#REF!,"AAAAAHpv3xc=")</f>
        <v>#REF!</v>
      </c>
      <c r="Y36" s="1" t="e">
        <f>AND(#REF!,"AAAAAHpv3xg=")</f>
        <v>#REF!</v>
      </c>
      <c r="Z36" s="1" t="e">
        <f>AND(#REF!,"AAAAAHpv3xk=")</f>
        <v>#REF!</v>
      </c>
      <c r="AA36" s="1" t="e">
        <f>AND(#REF!,"AAAAAHpv3xo=")</f>
        <v>#REF!</v>
      </c>
      <c r="AB36" s="1" t="e">
        <f>AND(#REF!,"AAAAAHpv3xs=")</f>
        <v>#REF!</v>
      </c>
      <c r="AC36" s="1" t="e">
        <f>AND(#REF!,"AAAAAHpv3xw=")</f>
        <v>#REF!</v>
      </c>
      <c r="AD36" s="1" t="e">
        <f>AND(#REF!,"AAAAAHpv3x0=")</f>
        <v>#REF!</v>
      </c>
      <c r="AE36" s="1" t="e">
        <f>AND(#REF!,"AAAAAHpv3x4=")</f>
        <v>#REF!</v>
      </c>
      <c r="AF36" s="1" t="e">
        <f>AND(#REF!,"AAAAAHpv3x8=")</f>
        <v>#REF!</v>
      </c>
      <c r="AG36" s="1" t="e">
        <f>AND(#REF!,"AAAAAHpv3yA=")</f>
        <v>#REF!</v>
      </c>
      <c r="AH36" s="1" t="e">
        <f>AND(#REF!,"AAAAAHpv3yE=")</f>
        <v>#REF!</v>
      </c>
      <c r="AI36" s="1" t="e">
        <f>AND(#REF!,"AAAAAHpv3yI=")</f>
        <v>#REF!</v>
      </c>
      <c r="AJ36" s="1" t="e">
        <f>AND(#REF!,"AAAAAHpv3yM=")</f>
        <v>#REF!</v>
      </c>
      <c r="AK36" s="1" t="e">
        <f>AND(#REF!,"AAAAAHpv3yQ=")</f>
        <v>#REF!</v>
      </c>
      <c r="AL36" s="1" t="e">
        <f>AND(#REF!,"AAAAAHpv3yU=")</f>
        <v>#REF!</v>
      </c>
      <c r="AM36" s="1" t="e">
        <f>AND(#REF!,"AAAAAHpv3yY=")</f>
        <v>#REF!</v>
      </c>
      <c r="AN36" s="1" t="e">
        <f>AND(#REF!,"AAAAAHpv3yc=")</f>
        <v>#REF!</v>
      </c>
      <c r="AO36" s="1" t="e">
        <f>AND(#REF!,"AAAAAHpv3yg=")</f>
        <v>#REF!</v>
      </c>
      <c r="AP36" s="1" t="e">
        <f>AND(#REF!,"AAAAAHpv3yk=")</f>
        <v>#REF!</v>
      </c>
      <c r="AQ36" s="1" t="e">
        <f>AND(#REF!,"AAAAAHpv3yo=")</f>
        <v>#REF!</v>
      </c>
      <c r="AR36" s="1" t="e">
        <f>AND(#REF!,"AAAAAHpv3ys=")</f>
        <v>#REF!</v>
      </c>
      <c r="AS36" s="1" t="e">
        <f>AND(#REF!,"AAAAAHpv3yw=")</f>
        <v>#REF!</v>
      </c>
      <c r="AT36" s="1" t="e">
        <f>AND(#REF!,"AAAAAHpv3y0=")</f>
        <v>#REF!</v>
      </c>
      <c r="AU36" s="1" t="e">
        <f>AND(#REF!,"AAAAAHpv3y4=")</f>
        <v>#REF!</v>
      </c>
      <c r="AV36" s="1" t="e">
        <f>AND(#REF!,"AAAAAHpv3y8=")</f>
        <v>#REF!</v>
      </c>
      <c r="AW36" s="1" t="e">
        <f>AND(#REF!,"AAAAAHpv3zA=")</f>
        <v>#REF!</v>
      </c>
      <c r="AX36" s="1" t="e">
        <f>AND(#REF!,"AAAAAHpv3zE=")</f>
        <v>#REF!</v>
      </c>
      <c r="AY36" s="1" t="e">
        <f>AND(#REF!,"AAAAAHpv3zI=")</f>
        <v>#REF!</v>
      </c>
      <c r="AZ36" s="1" t="e">
        <f>AND(#REF!,"AAAAAHpv3zM=")</f>
        <v>#REF!</v>
      </c>
      <c r="BA36" s="1" t="e">
        <f>AND(#REF!,"AAAAAHpv3zQ=")</f>
        <v>#REF!</v>
      </c>
      <c r="BB36" s="1" t="e">
        <f>AND(#REF!,"AAAAAHpv3zU=")</f>
        <v>#REF!</v>
      </c>
      <c r="BC36" s="1" t="e">
        <f>AND(#REF!,"AAAAAHpv3zY=")</f>
        <v>#REF!</v>
      </c>
      <c r="BD36" s="1" t="e">
        <f>IF(#REF!,"AAAAAHpv3zc=",0)</f>
        <v>#REF!</v>
      </c>
      <c r="BE36" s="1" t="e">
        <f>AND(#REF!,"AAAAAHpv3zg=")</f>
        <v>#REF!</v>
      </c>
      <c r="BF36" s="1" t="e">
        <f>AND(#REF!,"AAAAAHpv3zk=")</f>
        <v>#REF!</v>
      </c>
      <c r="BG36" s="1" t="e">
        <f>AND(#REF!,"AAAAAHpv3zo=")</f>
        <v>#REF!</v>
      </c>
      <c r="BH36" s="1" t="e">
        <f>AND(#REF!,"AAAAAHpv3zs=")</f>
        <v>#REF!</v>
      </c>
      <c r="BI36" s="1" t="e">
        <f>AND(#REF!,"AAAAAHpv3zw=")</f>
        <v>#REF!</v>
      </c>
      <c r="BJ36" s="1" t="e">
        <f>AND(#REF!,"AAAAAHpv3z0=")</f>
        <v>#REF!</v>
      </c>
      <c r="BK36" s="1" t="e">
        <f>AND(#REF!,"AAAAAHpv3z4=")</f>
        <v>#REF!</v>
      </c>
      <c r="BL36" s="1" t="e">
        <f>AND(#REF!,"AAAAAHpv3z8=")</f>
        <v>#REF!</v>
      </c>
      <c r="BM36" s="1" t="e">
        <f>AND(#REF!,"AAAAAHpv30A=")</f>
        <v>#REF!</v>
      </c>
      <c r="BN36" s="1" t="e">
        <f>AND(#REF!,"AAAAAHpv30E=")</f>
        <v>#REF!</v>
      </c>
      <c r="BO36" s="1" t="e">
        <f>AND(#REF!,"AAAAAHpv30I=")</f>
        <v>#REF!</v>
      </c>
      <c r="BP36" s="1" t="e">
        <f>AND(#REF!,"AAAAAHpv30M=")</f>
        <v>#REF!</v>
      </c>
      <c r="BQ36" s="1" t="e">
        <f>AND(#REF!,"AAAAAHpv30Q=")</f>
        <v>#REF!</v>
      </c>
      <c r="BR36" s="1" t="e">
        <f>AND(#REF!,"AAAAAHpv30U=")</f>
        <v>#REF!</v>
      </c>
      <c r="BS36" s="1" t="e">
        <f>AND(#REF!,"AAAAAHpv30Y=")</f>
        <v>#REF!</v>
      </c>
      <c r="BT36" s="1" t="e">
        <f>AND(#REF!,"AAAAAHpv30c=")</f>
        <v>#REF!</v>
      </c>
      <c r="BU36" s="1" t="e">
        <f>AND(#REF!,"AAAAAHpv30g=")</f>
        <v>#REF!</v>
      </c>
      <c r="BV36" s="1" t="e">
        <f>AND(#REF!,"AAAAAHpv30k=")</f>
        <v>#REF!</v>
      </c>
      <c r="BW36" s="1" t="e">
        <f>AND(#REF!,"AAAAAHpv30o=")</f>
        <v>#REF!</v>
      </c>
      <c r="BX36" s="1" t="e">
        <f>AND(#REF!,"AAAAAHpv30s=")</f>
        <v>#REF!</v>
      </c>
      <c r="BY36" s="1" t="e">
        <f>AND(#REF!,"AAAAAHpv30w=")</f>
        <v>#REF!</v>
      </c>
      <c r="BZ36" s="1" t="e">
        <f>AND(#REF!,"AAAAAHpv300=")</f>
        <v>#REF!</v>
      </c>
      <c r="CA36" s="1" t="e">
        <f>AND(#REF!,"AAAAAHpv304=")</f>
        <v>#REF!</v>
      </c>
      <c r="CB36" s="1" t="e">
        <f>AND(#REF!,"AAAAAHpv308=")</f>
        <v>#REF!</v>
      </c>
      <c r="CC36" s="1" t="e">
        <f>AND(#REF!,"AAAAAHpv31A=")</f>
        <v>#REF!</v>
      </c>
      <c r="CD36" s="1" t="e">
        <f>AND(#REF!,"AAAAAHpv31E=")</f>
        <v>#REF!</v>
      </c>
      <c r="CE36" s="1" t="e">
        <f>AND(#REF!,"AAAAAHpv31I=")</f>
        <v>#REF!</v>
      </c>
      <c r="CF36" s="1" t="e">
        <f>AND(#REF!,"AAAAAHpv31M=")</f>
        <v>#REF!</v>
      </c>
      <c r="CG36" s="1" t="e">
        <f>AND(#REF!,"AAAAAHpv31Q=")</f>
        <v>#REF!</v>
      </c>
      <c r="CH36" s="1" t="e">
        <f>AND(#REF!,"AAAAAHpv31U=")</f>
        <v>#REF!</v>
      </c>
      <c r="CI36" s="1" t="e">
        <f>AND(#REF!,"AAAAAHpv31Y=")</f>
        <v>#REF!</v>
      </c>
      <c r="CJ36" s="1" t="e">
        <f>AND(#REF!,"AAAAAHpv31c=")</f>
        <v>#REF!</v>
      </c>
      <c r="CK36" s="1" t="e">
        <f>AND(#REF!,"AAAAAHpv31g=")</f>
        <v>#REF!</v>
      </c>
      <c r="CL36" s="1" t="e">
        <f>AND(#REF!,"AAAAAHpv31k=")</f>
        <v>#REF!</v>
      </c>
      <c r="CM36" s="1" t="e">
        <f>AND(#REF!,"AAAAAHpv31o=")</f>
        <v>#REF!</v>
      </c>
      <c r="CN36" s="1" t="e">
        <f>AND(#REF!,"AAAAAHpv31s=")</f>
        <v>#REF!</v>
      </c>
      <c r="CO36" s="1" t="e">
        <f>AND(#REF!,"AAAAAHpv31w=")</f>
        <v>#REF!</v>
      </c>
      <c r="CP36" s="1" t="e">
        <f>AND(#REF!,"AAAAAHpv310=")</f>
        <v>#REF!</v>
      </c>
      <c r="CQ36" s="1" t="e">
        <f>AND(#REF!,"AAAAAHpv314=")</f>
        <v>#REF!</v>
      </c>
      <c r="CR36" s="1" t="e">
        <f>AND(#REF!,"AAAAAHpv318=")</f>
        <v>#REF!</v>
      </c>
      <c r="CS36" s="1" t="e">
        <f>AND(#REF!,"AAAAAHpv32A=")</f>
        <v>#REF!</v>
      </c>
      <c r="CT36" s="1" t="e">
        <f>AND(#REF!,"AAAAAHpv32E=")</f>
        <v>#REF!</v>
      </c>
      <c r="CU36" s="1" t="e">
        <f>AND(#REF!,"AAAAAHpv32I=")</f>
        <v>#REF!</v>
      </c>
      <c r="CV36" s="1" t="e">
        <f>AND(#REF!,"AAAAAHpv32M=")</f>
        <v>#REF!</v>
      </c>
      <c r="CW36" s="1" t="e">
        <f>AND(#REF!,"AAAAAHpv32Q=")</f>
        <v>#REF!</v>
      </c>
      <c r="CX36" s="1" t="e">
        <f>AND(#REF!,"AAAAAHpv32U=")</f>
        <v>#REF!</v>
      </c>
      <c r="CY36" s="1" t="e">
        <f>AND(#REF!,"AAAAAHpv32Y=")</f>
        <v>#REF!</v>
      </c>
      <c r="CZ36" s="1" t="e">
        <f>AND(#REF!,"AAAAAHpv32c=")</f>
        <v>#REF!</v>
      </c>
      <c r="DA36" s="1" t="e">
        <f>AND(#REF!,"AAAAAHpv32g=")</f>
        <v>#REF!</v>
      </c>
      <c r="DB36" s="1" t="e">
        <f>AND(#REF!,"AAAAAHpv32k=")</f>
        <v>#REF!</v>
      </c>
      <c r="DC36" s="1" t="e">
        <f>AND(#REF!,"AAAAAHpv32o=")</f>
        <v>#REF!</v>
      </c>
      <c r="DD36" s="1" t="e">
        <f>AND(#REF!,"AAAAAHpv32s=")</f>
        <v>#REF!</v>
      </c>
      <c r="DE36" s="1" t="e">
        <f>AND(#REF!,"AAAAAHpv32w=")</f>
        <v>#REF!</v>
      </c>
      <c r="DF36" s="1" t="e">
        <f>AND(#REF!,"AAAAAHpv320=")</f>
        <v>#REF!</v>
      </c>
      <c r="DG36" s="1" t="e">
        <f>AND(#REF!,"AAAAAHpv324=")</f>
        <v>#REF!</v>
      </c>
      <c r="DH36" s="1" t="e">
        <f>AND(#REF!,"AAAAAHpv328=")</f>
        <v>#REF!</v>
      </c>
      <c r="DI36" s="1" t="e">
        <f>AND(#REF!,"AAAAAHpv33A=")</f>
        <v>#REF!</v>
      </c>
      <c r="DJ36" s="1" t="e">
        <f>AND(#REF!,"AAAAAHpv33E=")</f>
        <v>#REF!</v>
      </c>
      <c r="DK36" s="1" t="e">
        <f>AND(#REF!,"AAAAAHpv33I=")</f>
        <v>#REF!</v>
      </c>
      <c r="DL36" s="1" t="e">
        <f>AND(#REF!,"AAAAAHpv33M=")</f>
        <v>#REF!</v>
      </c>
      <c r="DM36" s="1" t="e">
        <f>AND(#REF!,"AAAAAHpv33Q=")</f>
        <v>#REF!</v>
      </c>
      <c r="DN36" s="1" t="e">
        <f>AND(#REF!,"AAAAAHpv33U=")</f>
        <v>#REF!</v>
      </c>
      <c r="DO36" s="1" t="e">
        <f>AND(#REF!,"AAAAAHpv33Y=")</f>
        <v>#REF!</v>
      </c>
      <c r="DP36" s="1" t="e">
        <f>AND(#REF!,"AAAAAHpv33c=")</f>
        <v>#REF!</v>
      </c>
      <c r="DQ36" s="1" t="e">
        <f>AND(#REF!,"AAAAAHpv33g=")</f>
        <v>#REF!</v>
      </c>
      <c r="DR36" s="1" t="e">
        <f>AND(#REF!,"AAAAAHpv33k=")</f>
        <v>#REF!</v>
      </c>
      <c r="DS36" s="1" t="e">
        <f>AND(#REF!,"AAAAAHpv33o=")</f>
        <v>#REF!</v>
      </c>
      <c r="DT36" s="1" t="e">
        <f>AND(#REF!,"AAAAAHpv33s=")</f>
        <v>#REF!</v>
      </c>
      <c r="DU36" s="1" t="e">
        <f>AND(#REF!,"AAAAAHpv33w=")</f>
        <v>#REF!</v>
      </c>
      <c r="DV36" s="1" t="e">
        <f>AND(#REF!,"AAAAAHpv330=")</f>
        <v>#REF!</v>
      </c>
      <c r="DW36" s="1" t="e">
        <f>AND(#REF!,"AAAAAHpv334=")</f>
        <v>#REF!</v>
      </c>
      <c r="DX36" s="1" t="e">
        <f>AND(#REF!,"AAAAAHpv338=")</f>
        <v>#REF!</v>
      </c>
      <c r="DY36" s="1" t="e">
        <f>AND(#REF!,"AAAAAHpv34A=")</f>
        <v>#REF!</v>
      </c>
      <c r="DZ36" s="1" t="e">
        <f>AND(#REF!,"AAAAAHpv34E=")</f>
        <v>#REF!</v>
      </c>
      <c r="EA36" s="1" t="e">
        <f>AND(#REF!,"AAAAAHpv34I=")</f>
        <v>#REF!</v>
      </c>
      <c r="EB36" s="1" t="e">
        <f>AND(#REF!,"AAAAAHpv34M=")</f>
        <v>#REF!</v>
      </c>
      <c r="EC36" s="1" t="e">
        <f>AND(#REF!,"AAAAAHpv34Q=")</f>
        <v>#REF!</v>
      </c>
      <c r="ED36" s="1" t="e">
        <f>AND(#REF!,"AAAAAHpv34U=")</f>
        <v>#REF!</v>
      </c>
      <c r="EE36" s="1" t="e">
        <f>AND(#REF!,"AAAAAHpv34Y=")</f>
        <v>#REF!</v>
      </c>
      <c r="EF36" s="1" t="e">
        <f>AND(#REF!,"AAAAAHpv34c=")</f>
        <v>#REF!</v>
      </c>
      <c r="EG36" s="1" t="e">
        <f>AND(#REF!,"AAAAAHpv34g=")</f>
        <v>#REF!</v>
      </c>
      <c r="EH36" s="1" t="e">
        <f>AND(#REF!,"AAAAAHpv34k=")</f>
        <v>#REF!</v>
      </c>
      <c r="EI36" s="1" t="e">
        <f>AND(#REF!,"AAAAAHpv34o=")</f>
        <v>#REF!</v>
      </c>
      <c r="EJ36" s="1" t="e">
        <f>AND(#REF!,"AAAAAHpv34s=")</f>
        <v>#REF!</v>
      </c>
      <c r="EK36" s="1" t="e">
        <f>AND(#REF!,"AAAAAHpv34w=")</f>
        <v>#REF!</v>
      </c>
      <c r="EL36" s="1" t="e">
        <f>AND(#REF!,"AAAAAHpv340=")</f>
        <v>#REF!</v>
      </c>
      <c r="EM36" s="1" t="e">
        <f>AND(#REF!,"AAAAAHpv344=")</f>
        <v>#REF!</v>
      </c>
      <c r="EN36" s="1" t="e">
        <f>AND(#REF!,"AAAAAHpv348=")</f>
        <v>#REF!</v>
      </c>
      <c r="EO36" s="1" t="e">
        <f>AND(#REF!,"AAAAAHpv35A=")</f>
        <v>#REF!</v>
      </c>
      <c r="EP36" s="1" t="e">
        <f>AND(#REF!,"AAAAAHpv35E=")</f>
        <v>#REF!</v>
      </c>
      <c r="EQ36" s="1" t="e">
        <f>AND(#REF!,"AAAAAHpv35I=")</f>
        <v>#REF!</v>
      </c>
      <c r="ER36" s="1" t="e">
        <f>AND(#REF!,"AAAAAHpv35M=")</f>
        <v>#REF!</v>
      </c>
      <c r="ES36" s="1" t="e">
        <f>AND(#REF!,"AAAAAHpv35Q=")</f>
        <v>#REF!</v>
      </c>
      <c r="ET36" s="1" t="e">
        <f>AND(#REF!,"AAAAAHpv35U=")</f>
        <v>#REF!</v>
      </c>
      <c r="EU36" s="1" t="e">
        <f>AND(#REF!,"AAAAAHpv35Y=")</f>
        <v>#REF!</v>
      </c>
      <c r="EV36" s="1" t="e">
        <f>AND(#REF!,"AAAAAHpv35c=")</f>
        <v>#REF!</v>
      </c>
      <c r="EW36" s="1" t="e">
        <f>AND(#REF!,"AAAAAHpv35g=")</f>
        <v>#REF!</v>
      </c>
      <c r="EX36" s="1" t="e">
        <f>AND(#REF!,"AAAAAHpv35k=")</f>
        <v>#REF!</v>
      </c>
      <c r="EY36" s="1" t="e">
        <f>AND(#REF!,"AAAAAHpv35o=")</f>
        <v>#REF!</v>
      </c>
      <c r="EZ36" s="1" t="e">
        <f>AND(#REF!,"AAAAAHpv35s=")</f>
        <v>#REF!</v>
      </c>
      <c r="FA36" s="1" t="e">
        <f>AND(#REF!,"AAAAAHpv35w=")</f>
        <v>#REF!</v>
      </c>
      <c r="FB36" s="1" t="e">
        <f>AND(#REF!,"AAAAAHpv350=")</f>
        <v>#REF!</v>
      </c>
      <c r="FC36" s="1" t="e">
        <f>IF(#REF!,"AAAAAHpv354=",0)</f>
        <v>#REF!</v>
      </c>
      <c r="FD36" s="1" t="e">
        <f>AND(#REF!,"AAAAAHpv358=")</f>
        <v>#REF!</v>
      </c>
      <c r="FE36" s="1" t="e">
        <f>AND(#REF!,"AAAAAHpv36A=")</f>
        <v>#REF!</v>
      </c>
      <c r="FF36" s="1" t="e">
        <f>AND(#REF!,"AAAAAHpv36E=")</f>
        <v>#REF!</v>
      </c>
      <c r="FG36" s="1" t="e">
        <f>AND(#REF!,"AAAAAHpv36I=")</f>
        <v>#REF!</v>
      </c>
      <c r="FH36" s="1" t="e">
        <f>AND(#REF!,"AAAAAHpv36M=")</f>
        <v>#REF!</v>
      </c>
      <c r="FI36" s="1" t="e">
        <f>AND(#REF!,"AAAAAHpv36Q=")</f>
        <v>#REF!</v>
      </c>
      <c r="FJ36" s="1" t="e">
        <f>AND(#REF!,"AAAAAHpv36U=")</f>
        <v>#REF!</v>
      </c>
      <c r="FK36" s="1" t="e">
        <f>AND(#REF!,"AAAAAHpv36Y=")</f>
        <v>#REF!</v>
      </c>
      <c r="FL36" s="1" t="e">
        <f>AND(#REF!,"AAAAAHpv36c=")</f>
        <v>#REF!</v>
      </c>
      <c r="FM36" s="1" t="e">
        <f>AND(#REF!,"AAAAAHpv36g=")</f>
        <v>#REF!</v>
      </c>
      <c r="FN36" s="1" t="e">
        <f>AND(#REF!,"AAAAAHpv36k=")</f>
        <v>#REF!</v>
      </c>
      <c r="FO36" s="1" t="e">
        <f>AND(#REF!,"AAAAAHpv36o=")</f>
        <v>#REF!</v>
      </c>
      <c r="FP36" s="1" t="e">
        <f>AND(#REF!,"AAAAAHpv36s=")</f>
        <v>#REF!</v>
      </c>
      <c r="FQ36" s="1" t="e">
        <f>AND(#REF!,"AAAAAHpv36w=")</f>
        <v>#REF!</v>
      </c>
      <c r="FR36" s="1" t="e">
        <f>AND(#REF!,"AAAAAHpv360=")</f>
        <v>#REF!</v>
      </c>
      <c r="FS36" s="1" t="e">
        <f>AND(#REF!,"AAAAAHpv364=")</f>
        <v>#REF!</v>
      </c>
      <c r="FT36" s="1" t="e">
        <f>AND(#REF!,"AAAAAHpv368=")</f>
        <v>#REF!</v>
      </c>
      <c r="FU36" s="1" t="e">
        <f>AND(#REF!,"AAAAAHpv37A=")</f>
        <v>#REF!</v>
      </c>
      <c r="FV36" s="1" t="e">
        <f>AND(#REF!,"AAAAAHpv37E=")</f>
        <v>#REF!</v>
      </c>
      <c r="FW36" s="1" t="e">
        <f>AND(#REF!,"AAAAAHpv37I=")</f>
        <v>#REF!</v>
      </c>
      <c r="FX36" s="1" t="e">
        <f>AND(#REF!,"AAAAAHpv37M=")</f>
        <v>#REF!</v>
      </c>
      <c r="FY36" s="1" t="e">
        <f>AND(#REF!,"AAAAAHpv37Q=")</f>
        <v>#REF!</v>
      </c>
      <c r="FZ36" s="1" t="e">
        <f>AND(#REF!,"AAAAAHpv37U=")</f>
        <v>#REF!</v>
      </c>
      <c r="GA36" s="1" t="e">
        <f>AND(#REF!,"AAAAAHpv37Y=")</f>
        <v>#REF!</v>
      </c>
      <c r="GB36" s="1" t="e">
        <f>AND(#REF!,"AAAAAHpv37c=")</f>
        <v>#REF!</v>
      </c>
      <c r="GC36" s="1" t="e">
        <f>AND(#REF!,"AAAAAHpv37g=")</f>
        <v>#REF!</v>
      </c>
      <c r="GD36" s="1" t="e">
        <f>AND(#REF!,"AAAAAHpv37k=")</f>
        <v>#REF!</v>
      </c>
      <c r="GE36" s="1" t="e">
        <f>AND(#REF!,"AAAAAHpv37o=")</f>
        <v>#REF!</v>
      </c>
      <c r="GF36" s="1" t="e">
        <f>AND(#REF!,"AAAAAHpv37s=")</f>
        <v>#REF!</v>
      </c>
      <c r="GG36" s="1" t="e">
        <f>AND(#REF!,"AAAAAHpv37w=")</f>
        <v>#REF!</v>
      </c>
      <c r="GH36" s="1" t="e">
        <f>AND(#REF!,"AAAAAHpv370=")</f>
        <v>#REF!</v>
      </c>
      <c r="GI36" s="1" t="e">
        <f>AND(#REF!,"AAAAAHpv374=")</f>
        <v>#REF!</v>
      </c>
      <c r="GJ36" s="1" t="e">
        <f>AND(#REF!,"AAAAAHpv378=")</f>
        <v>#REF!</v>
      </c>
      <c r="GK36" s="1" t="e">
        <f>AND(#REF!,"AAAAAHpv38A=")</f>
        <v>#REF!</v>
      </c>
      <c r="GL36" s="1" t="e">
        <f>AND(#REF!,"AAAAAHpv38E=")</f>
        <v>#REF!</v>
      </c>
      <c r="GM36" s="1" t="e">
        <f>AND(#REF!,"AAAAAHpv38I=")</f>
        <v>#REF!</v>
      </c>
      <c r="GN36" s="1" t="e">
        <f>AND(#REF!,"AAAAAHpv38M=")</f>
        <v>#REF!</v>
      </c>
      <c r="GO36" s="1" t="e">
        <f>AND(#REF!,"AAAAAHpv38Q=")</f>
        <v>#REF!</v>
      </c>
      <c r="GP36" s="1" t="e">
        <f>AND(#REF!,"AAAAAHpv38U=")</f>
        <v>#REF!</v>
      </c>
      <c r="GQ36" s="1" t="e">
        <f>AND(#REF!,"AAAAAHpv38Y=")</f>
        <v>#REF!</v>
      </c>
      <c r="GR36" s="1" t="e">
        <f>AND(#REF!,"AAAAAHpv38c=")</f>
        <v>#REF!</v>
      </c>
      <c r="GS36" s="1" t="e">
        <f>AND(#REF!,"AAAAAHpv38g=")</f>
        <v>#REF!</v>
      </c>
      <c r="GT36" s="1" t="e">
        <f>AND(#REF!,"AAAAAHpv38k=")</f>
        <v>#REF!</v>
      </c>
      <c r="GU36" s="1" t="e">
        <f>AND(#REF!,"AAAAAHpv38o=")</f>
        <v>#REF!</v>
      </c>
      <c r="GV36" s="1" t="e">
        <f>AND(#REF!,"AAAAAHpv38s=")</f>
        <v>#REF!</v>
      </c>
      <c r="GW36" s="1" t="e">
        <f>AND(#REF!,"AAAAAHpv38w=")</f>
        <v>#REF!</v>
      </c>
      <c r="GX36" s="1" t="e">
        <f>AND(#REF!,"AAAAAHpv380=")</f>
        <v>#REF!</v>
      </c>
      <c r="GY36" s="1" t="e">
        <f>AND(#REF!,"AAAAAHpv384=")</f>
        <v>#REF!</v>
      </c>
      <c r="GZ36" s="1" t="e">
        <f>AND(#REF!,"AAAAAHpv388=")</f>
        <v>#REF!</v>
      </c>
      <c r="HA36" s="1" t="e">
        <f>AND(#REF!,"AAAAAHpv39A=")</f>
        <v>#REF!</v>
      </c>
      <c r="HB36" s="1" t="e">
        <f>AND(#REF!,"AAAAAHpv39E=")</f>
        <v>#REF!</v>
      </c>
      <c r="HC36" s="1" t="e">
        <f>AND(#REF!,"AAAAAHpv39I=")</f>
        <v>#REF!</v>
      </c>
      <c r="HD36" s="1" t="e">
        <f>AND(#REF!,"AAAAAHpv39M=")</f>
        <v>#REF!</v>
      </c>
      <c r="HE36" s="1" t="e">
        <f>AND(#REF!,"AAAAAHpv39Q=")</f>
        <v>#REF!</v>
      </c>
      <c r="HF36" s="1" t="e">
        <f>AND(#REF!,"AAAAAHpv39U=")</f>
        <v>#REF!</v>
      </c>
      <c r="HG36" s="1" t="e">
        <f>AND(#REF!,"AAAAAHpv39Y=")</f>
        <v>#REF!</v>
      </c>
      <c r="HH36" s="1" t="e">
        <f>AND(#REF!,"AAAAAHpv39c=")</f>
        <v>#REF!</v>
      </c>
      <c r="HI36" s="1" t="e">
        <f>AND(#REF!,"AAAAAHpv39g=")</f>
        <v>#REF!</v>
      </c>
      <c r="HJ36" s="1" t="e">
        <f>AND(#REF!,"AAAAAHpv39k=")</f>
        <v>#REF!</v>
      </c>
      <c r="HK36" s="1" t="e">
        <f>AND(#REF!,"AAAAAHpv39o=")</f>
        <v>#REF!</v>
      </c>
      <c r="HL36" s="1" t="e">
        <f>AND(#REF!,"AAAAAHpv39s=")</f>
        <v>#REF!</v>
      </c>
      <c r="HM36" s="1" t="e">
        <f>AND(#REF!,"AAAAAHpv39w=")</f>
        <v>#REF!</v>
      </c>
      <c r="HN36" s="1" t="e">
        <f>AND(#REF!,"AAAAAHpv390=")</f>
        <v>#REF!</v>
      </c>
      <c r="HO36" s="1" t="e">
        <f>AND(#REF!,"AAAAAHpv394=")</f>
        <v>#REF!</v>
      </c>
      <c r="HP36" s="1" t="e">
        <f>AND(#REF!,"AAAAAHpv398=")</f>
        <v>#REF!</v>
      </c>
      <c r="HQ36" s="1" t="e">
        <f>AND(#REF!,"AAAAAHpv3+A=")</f>
        <v>#REF!</v>
      </c>
      <c r="HR36" s="1" t="e">
        <f>AND(#REF!,"AAAAAHpv3+E=")</f>
        <v>#REF!</v>
      </c>
      <c r="HS36" s="1" t="e">
        <f>AND(#REF!,"AAAAAHpv3+I=")</f>
        <v>#REF!</v>
      </c>
      <c r="HT36" s="1" t="e">
        <f>AND(#REF!,"AAAAAHpv3+M=")</f>
        <v>#REF!</v>
      </c>
      <c r="HU36" s="1" t="e">
        <f>AND(#REF!,"AAAAAHpv3+Q=")</f>
        <v>#REF!</v>
      </c>
      <c r="HV36" s="1" t="e">
        <f>AND(#REF!,"AAAAAHpv3+U=")</f>
        <v>#REF!</v>
      </c>
      <c r="HW36" s="1" t="e">
        <f>AND(#REF!,"AAAAAHpv3+Y=")</f>
        <v>#REF!</v>
      </c>
      <c r="HX36" s="1" t="e">
        <f>AND(#REF!,"AAAAAHpv3+c=")</f>
        <v>#REF!</v>
      </c>
      <c r="HY36" s="1" t="e">
        <f>AND(#REF!,"AAAAAHpv3+g=")</f>
        <v>#REF!</v>
      </c>
      <c r="HZ36" s="1" t="e">
        <f>AND(#REF!,"AAAAAHpv3+k=")</f>
        <v>#REF!</v>
      </c>
      <c r="IA36" s="1" t="e">
        <f>AND(#REF!,"AAAAAHpv3+o=")</f>
        <v>#REF!</v>
      </c>
      <c r="IB36" s="1" t="e">
        <f>AND(#REF!,"AAAAAHpv3+s=")</f>
        <v>#REF!</v>
      </c>
      <c r="IC36" s="1" t="e">
        <f>AND(#REF!,"AAAAAHpv3+w=")</f>
        <v>#REF!</v>
      </c>
      <c r="ID36" s="1" t="e">
        <f>AND(#REF!,"AAAAAHpv3+0=")</f>
        <v>#REF!</v>
      </c>
      <c r="IE36" s="1" t="e">
        <f>AND(#REF!,"AAAAAHpv3+4=")</f>
        <v>#REF!</v>
      </c>
      <c r="IF36" s="1" t="e">
        <f>AND(#REF!,"AAAAAHpv3+8=")</f>
        <v>#REF!</v>
      </c>
      <c r="IG36" s="1" t="e">
        <f>AND(#REF!,"AAAAAHpv3/A=")</f>
        <v>#REF!</v>
      </c>
      <c r="IH36" s="1" t="e">
        <f>AND(#REF!,"AAAAAHpv3/E=")</f>
        <v>#REF!</v>
      </c>
      <c r="II36" s="1" t="e">
        <f>AND(#REF!,"AAAAAHpv3/I=")</f>
        <v>#REF!</v>
      </c>
      <c r="IJ36" s="1" t="e">
        <f>AND(#REF!,"AAAAAHpv3/M=")</f>
        <v>#REF!</v>
      </c>
      <c r="IK36" s="1" t="e">
        <f>AND(#REF!,"AAAAAHpv3/Q=")</f>
        <v>#REF!</v>
      </c>
      <c r="IL36" s="1" t="e">
        <f>AND(#REF!,"AAAAAHpv3/U=")</f>
        <v>#REF!</v>
      </c>
      <c r="IM36" s="1" t="e">
        <f>AND(#REF!,"AAAAAHpv3/Y=")</f>
        <v>#REF!</v>
      </c>
      <c r="IN36" s="1" t="e">
        <f>AND(#REF!,"AAAAAHpv3/c=")</f>
        <v>#REF!</v>
      </c>
      <c r="IO36" s="1" t="e">
        <f>AND(#REF!,"AAAAAHpv3/g=")</f>
        <v>#REF!</v>
      </c>
      <c r="IP36" s="1" t="e">
        <f>AND(#REF!,"AAAAAHpv3/k=")</f>
        <v>#REF!</v>
      </c>
      <c r="IQ36" s="1" t="e">
        <f>AND(#REF!,"AAAAAHpv3/o=")</f>
        <v>#REF!</v>
      </c>
      <c r="IR36" s="1" t="e">
        <f>AND(#REF!,"AAAAAHpv3/s=")</f>
        <v>#REF!</v>
      </c>
      <c r="IS36" s="1" t="e">
        <f>AND(#REF!,"AAAAAHpv3/w=")</f>
        <v>#REF!</v>
      </c>
      <c r="IT36" s="1" t="e">
        <f>AND(#REF!,"AAAAAHpv3/0=")</f>
        <v>#REF!</v>
      </c>
      <c r="IU36" s="1" t="e">
        <f>AND(#REF!,"AAAAAHpv3/4=")</f>
        <v>#REF!</v>
      </c>
      <c r="IV36" s="1" t="e">
        <f>AND(#REF!,"AAAAAHpv3/8=")</f>
        <v>#REF!</v>
      </c>
    </row>
    <row r="37" spans="1:256" ht="15" customHeight="1" x14ac:dyDescent="0.2">
      <c r="A37" s="1" t="e">
        <f>AND(#REF!,"AAAAAF+/ogA=")</f>
        <v>#REF!</v>
      </c>
      <c r="B37" s="1" t="e">
        <f>AND(#REF!,"AAAAAF+/ogE=")</f>
        <v>#REF!</v>
      </c>
      <c r="C37" s="1" t="e">
        <f>AND(#REF!,"AAAAAF+/ogI=")</f>
        <v>#REF!</v>
      </c>
      <c r="D37" s="1" t="e">
        <f>AND(#REF!,"AAAAAF+/ogM=")</f>
        <v>#REF!</v>
      </c>
      <c r="E37" s="1" t="e">
        <f>AND(#REF!,"AAAAAF+/ogQ=")</f>
        <v>#REF!</v>
      </c>
      <c r="F37" s="1" t="e">
        <f>IF(#REF!,"AAAAAF+/ogU=",0)</f>
        <v>#REF!</v>
      </c>
      <c r="G37" s="1" t="e">
        <f>AND(#REF!,"AAAAAF+/ogY=")</f>
        <v>#REF!</v>
      </c>
      <c r="H37" s="1" t="e">
        <f>AND(#REF!,"AAAAAF+/ogc=")</f>
        <v>#REF!</v>
      </c>
      <c r="I37" s="1" t="e">
        <f>AND(#REF!,"AAAAAF+/ogg=")</f>
        <v>#REF!</v>
      </c>
      <c r="J37" s="1" t="e">
        <f>AND(#REF!,"AAAAAF+/ogk=")</f>
        <v>#REF!</v>
      </c>
      <c r="K37" s="1" t="e">
        <f>AND(#REF!,"AAAAAF+/ogo=")</f>
        <v>#REF!</v>
      </c>
      <c r="L37" s="1" t="e">
        <f>AND(#REF!,"AAAAAF+/ogs=")</f>
        <v>#REF!</v>
      </c>
      <c r="M37" s="1" t="e">
        <f>AND(#REF!,"AAAAAF+/ogw=")</f>
        <v>#REF!</v>
      </c>
      <c r="N37" s="1" t="e">
        <f>AND(#REF!,"AAAAAF+/og0=")</f>
        <v>#REF!</v>
      </c>
      <c r="O37" s="1" t="e">
        <f>AND(#REF!,"AAAAAF+/og4=")</f>
        <v>#REF!</v>
      </c>
      <c r="P37" s="1" t="e">
        <f>AND(#REF!,"AAAAAF+/og8=")</f>
        <v>#REF!</v>
      </c>
      <c r="Q37" s="1" t="e">
        <f>AND(#REF!,"AAAAAF+/ohA=")</f>
        <v>#REF!</v>
      </c>
      <c r="R37" s="1" t="e">
        <f>AND(#REF!,"AAAAAF+/ohE=")</f>
        <v>#REF!</v>
      </c>
      <c r="S37" s="1" t="e">
        <f>AND(#REF!,"AAAAAF+/ohI=")</f>
        <v>#REF!</v>
      </c>
      <c r="T37" s="1" t="e">
        <f>AND(#REF!,"AAAAAF+/ohM=")</f>
        <v>#REF!</v>
      </c>
      <c r="U37" s="1" t="e">
        <f>AND(#REF!,"AAAAAF+/ohQ=")</f>
        <v>#REF!</v>
      </c>
      <c r="V37" s="1" t="e">
        <f>AND(#REF!,"AAAAAF+/ohU=")</f>
        <v>#REF!</v>
      </c>
      <c r="W37" s="1" t="e">
        <f>AND(#REF!,"AAAAAF+/ohY=")</f>
        <v>#REF!</v>
      </c>
      <c r="X37" s="1" t="e">
        <f>AND(#REF!,"AAAAAF+/ohc=")</f>
        <v>#REF!</v>
      </c>
      <c r="Y37" s="1" t="e">
        <f>AND(#REF!,"AAAAAF+/ohg=")</f>
        <v>#REF!</v>
      </c>
      <c r="Z37" s="1" t="e">
        <f>AND(#REF!,"AAAAAF+/ohk=")</f>
        <v>#REF!</v>
      </c>
      <c r="AA37" s="1" t="e">
        <f>AND(#REF!,"AAAAAF+/oho=")</f>
        <v>#REF!</v>
      </c>
      <c r="AB37" s="1" t="e">
        <f>AND(#REF!,"AAAAAF+/ohs=")</f>
        <v>#REF!</v>
      </c>
      <c r="AC37" s="1" t="e">
        <f>AND(#REF!,"AAAAAF+/ohw=")</f>
        <v>#REF!</v>
      </c>
      <c r="AD37" s="1" t="e">
        <f>AND(#REF!,"AAAAAF+/oh0=")</f>
        <v>#REF!</v>
      </c>
      <c r="AE37" s="1" t="e">
        <f>AND(#REF!,"AAAAAF+/oh4=")</f>
        <v>#REF!</v>
      </c>
      <c r="AF37" s="1" t="e">
        <f>AND(#REF!,"AAAAAF+/oh8=")</f>
        <v>#REF!</v>
      </c>
      <c r="AG37" s="1" t="e">
        <f>AND(#REF!,"AAAAAF+/oiA=")</f>
        <v>#REF!</v>
      </c>
      <c r="AH37" s="1" t="e">
        <f>AND(#REF!,"AAAAAF+/oiE=")</f>
        <v>#REF!</v>
      </c>
      <c r="AI37" s="1" t="e">
        <f>AND(#REF!,"AAAAAF+/oiI=")</f>
        <v>#REF!</v>
      </c>
      <c r="AJ37" s="1" t="e">
        <f>AND(#REF!,"AAAAAF+/oiM=")</f>
        <v>#REF!</v>
      </c>
      <c r="AK37" s="1" t="e">
        <f>AND(#REF!,"AAAAAF+/oiQ=")</f>
        <v>#REF!</v>
      </c>
      <c r="AL37" s="1" t="e">
        <f>AND(#REF!,"AAAAAF+/oiU=")</f>
        <v>#REF!</v>
      </c>
      <c r="AM37" s="1" t="e">
        <f>AND(#REF!,"AAAAAF+/oiY=")</f>
        <v>#REF!</v>
      </c>
      <c r="AN37" s="1" t="e">
        <f>AND(#REF!,"AAAAAF+/oic=")</f>
        <v>#REF!</v>
      </c>
      <c r="AO37" s="1" t="e">
        <f>AND(#REF!,"AAAAAF+/oig=")</f>
        <v>#REF!</v>
      </c>
      <c r="AP37" s="1" t="e">
        <f>AND(#REF!,"AAAAAF+/oik=")</f>
        <v>#REF!</v>
      </c>
      <c r="AQ37" s="1" t="e">
        <f>AND(#REF!,"AAAAAF+/oio=")</f>
        <v>#REF!</v>
      </c>
      <c r="AR37" s="1" t="e">
        <f>AND(#REF!,"AAAAAF+/ois=")</f>
        <v>#REF!</v>
      </c>
      <c r="AS37" s="1" t="e">
        <f>AND(#REF!,"AAAAAF+/oiw=")</f>
        <v>#REF!</v>
      </c>
      <c r="AT37" s="1" t="e">
        <f>AND(#REF!,"AAAAAF+/oi0=")</f>
        <v>#REF!</v>
      </c>
      <c r="AU37" s="1" t="e">
        <f>AND(#REF!,"AAAAAF+/oi4=")</f>
        <v>#REF!</v>
      </c>
      <c r="AV37" s="1" t="e">
        <f>AND(#REF!,"AAAAAF+/oi8=")</f>
        <v>#REF!</v>
      </c>
      <c r="AW37" s="1" t="e">
        <f>AND(#REF!,"AAAAAF+/ojA=")</f>
        <v>#REF!</v>
      </c>
      <c r="AX37" s="1" t="e">
        <f>AND(#REF!,"AAAAAF+/ojE=")</f>
        <v>#REF!</v>
      </c>
      <c r="AY37" s="1" t="e">
        <f>AND(#REF!,"AAAAAF+/ojI=")</f>
        <v>#REF!</v>
      </c>
      <c r="AZ37" s="1" t="e">
        <f>AND(#REF!,"AAAAAF+/ojM=")</f>
        <v>#REF!</v>
      </c>
      <c r="BA37" s="1" t="e">
        <f>AND(#REF!,"AAAAAF+/ojQ=")</f>
        <v>#REF!</v>
      </c>
      <c r="BB37" s="1" t="e">
        <f>AND(#REF!,"AAAAAF+/ojU=")</f>
        <v>#REF!</v>
      </c>
      <c r="BC37" s="1" t="e">
        <f>AND(#REF!,"AAAAAF+/ojY=")</f>
        <v>#REF!</v>
      </c>
      <c r="BD37" s="1" t="e">
        <f>AND(#REF!,"AAAAAF+/ojc=")</f>
        <v>#REF!</v>
      </c>
      <c r="BE37" s="1" t="e">
        <f>AND(#REF!,"AAAAAF+/ojg=")</f>
        <v>#REF!</v>
      </c>
      <c r="BF37" s="1" t="e">
        <f>AND(#REF!,"AAAAAF+/ojk=")</f>
        <v>#REF!</v>
      </c>
      <c r="BG37" s="1" t="e">
        <f>AND(#REF!,"AAAAAF+/ojo=")</f>
        <v>#REF!</v>
      </c>
      <c r="BH37" s="1" t="e">
        <f>AND(#REF!,"AAAAAF+/ojs=")</f>
        <v>#REF!</v>
      </c>
      <c r="BI37" s="1" t="e">
        <f>AND(#REF!,"AAAAAF+/ojw=")</f>
        <v>#REF!</v>
      </c>
      <c r="BJ37" s="1" t="e">
        <f>AND(#REF!,"AAAAAF+/oj0=")</f>
        <v>#REF!</v>
      </c>
      <c r="BK37" s="1" t="e">
        <f>AND(#REF!,"AAAAAF+/oj4=")</f>
        <v>#REF!</v>
      </c>
      <c r="BL37" s="1" t="e">
        <f>AND(#REF!,"AAAAAF+/oj8=")</f>
        <v>#REF!</v>
      </c>
      <c r="BM37" s="1" t="e">
        <f>AND(#REF!,"AAAAAF+/okA=")</f>
        <v>#REF!</v>
      </c>
      <c r="BN37" s="1" t="e">
        <f>AND(#REF!,"AAAAAF+/okE=")</f>
        <v>#REF!</v>
      </c>
      <c r="BO37" s="1" t="e">
        <f>AND(#REF!,"AAAAAF+/okI=")</f>
        <v>#REF!</v>
      </c>
      <c r="BP37" s="1" t="e">
        <f>AND(#REF!,"AAAAAF+/okM=")</f>
        <v>#REF!</v>
      </c>
      <c r="BQ37" s="1" t="e">
        <f>AND(#REF!,"AAAAAF+/okQ=")</f>
        <v>#REF!</v>
      </c>
      <c r="BR37" s="1" t="e">
        <f>AND(#REF!,"AAAAAF+/okU=")</f>
        <v>#REF!</v>
      </c>
      <c r="BS37" s="1" t="e">
        <f>AND(#REF!,"AAAAAF+/okY=")</f>
        <v>#REF!</v>
      </c>
      <c r="BT37" s="1" t="e">
        <f>AND(#REF!,"AAAAAF+/okc=")</f>
        <v>#REF!</v>
      </c>
      <c r="BU37" s="1" t="e">
        <f>AND(#REF!,"AAAAAF+/okg=")</f>
        <v>#REF!</v>
      </c>
      <c r="BV37" s="1" t="e">
        <f>AND(#REF!,"AAAAAF+/okk=")</f>
        <v>#REF!</v>
      </c>
      <c r="BW37" s="1" t="e">
        <f>AND(#REF!,"AAAAAF+/oko=")</f>
        <v>#REF!</v>
      </c>
      <c r="BX37" s="1" t="e">
        <f>AND(#REF!,"AAAAAF+/oks=")</f>
        <v>#REF!</v>
      </c>
      <c r="BY37" s="1" t="e">
        <f>AND(#REF!,"AAAAAF+/okw=")</f>
        <v>#REF!</v>
      </c>
      <c r="BZ37" s="1" t="e">
        <f>AND(#REF!,"AAAAAF+/ok0=")</f>
        <v>#REF!</v>
      </c>
      <c r="CA37" s="1" t="e">
        <f>AND(#REF!,"AAAAAF+/ok4=")</f>
        <v>#REF!</v>
      </c>
      <c r="CB37" s="1" t="e">
        <f>AND(#REF!,"AAAAAF+/ok8=")</f>
        <v>#REF!</v>
      </c>
      <c r="CC37" s="1" t="e">
        <f>AND(#REF!,"AAAAAF+/olA=")</f>
        <v>#REF!</v>
      </c>
      <c r="CD37" s="1" t="e">
        <f>AND(#REF!,"AAAAAF+/olE=")</f>
        <v>#REF!</v>
      </c>
      <c r="CE37" s="1" t="e">
        <f>AND(#REF!,"AAAAAF+/olI=")</f>
        <v>#REF!</v>
      </c>
      <c r="CF37" s="1" t="e">
        <f>AND(#REF!,"AAAAAF+/olM=")</f>
        <v>#REF!</v>
      </c>
      <c r="CG37" s="1" t="e">
        <f>AND(#REF!,"AAAAAF+/olQ=")</f>
        <v>#REF!</v>
      </c>
      <c r="CH37" s="1" t="e">
        <f>AND(#REF!,"AAAAAF+/olU=")</f>
        <v>#REF!</v>
      </c>
      <c r="CI37" s="1" t="e">
        <f>AND(#REF!,"AAAAAF+/olY=")</f>
        <v>#REF!</v>
      </c>
      <c r="CJ37" s="1" t="e">
        <f>AND(#REF!,"AAAAAF+/olc=")</f>
        <v>#REF!</v>
      </c>
      <c r="CK37" s="1" t="e">
        <f>AND(#REF!,"AAAAAF+/olg=")</f>
        <v>#REF!</v>
      </c>
      <c r="CL37" s="1" t="e">
        <f>AND(#REF!,"AAAAAF+/olk=")</f>
        <v>#REF!</v>
      </c>
      <c r="CM37" s="1" t="e">
        <f>AND(#REF!,"AAAAAF+/olo=")</f>
        <v>#REF!</v>
      </c>
      <c r="CN37" s="1" t="e">
        <f>AND(#REF!,"AAAAAF+/ols=")</f>
        <v>#REF!</v>
      </c>
      <c r="CO37" s="1" t="e">
        <f>AND(#REF!,"AAAAAF+/olw=")</f>
        <v>#REF!</v>
      </c>
      <c r="CP37" s="1" t="e">
        <f>AND(#REF!,"AAAAAF+/ol0=")</f>
        <v>#REF!</v>
      </c>
      <c r="CQ37" s="1" t="e">
        <f>AND(#REF!,"AAAAAF+/ol4=")</f>
        <v>#REF!</v>
      </c>
      <c r="CR37" s="1" t="e">
        <f>AND(#REF!,"AAAAAF+/ol8=")</f>
        <v>#REF!</v>
      </c>
      <c r="CS37" s="1" t="e">
        <f>AND(#REF!,"AAAAAF+/omA=")</f>
        <v>#REF!</v>
      </c>
      <c r="CT37" s="1" t="e">
        <f>AND(#REF!,"AAAAAF+/omE=")</f>
        <v>#REF!</v>
      </c>
      <c r="CU37" s="1" t="e">
        <f>AND(#REF!,"AAAAAF+/omI=")</f>
        <v>#REF!</v>
      </c>
      <c r="CV37" s="1" t="e">
        <f>AND(#REF!,"AAAAAF+/omM=")</f>
        <v>#REF!</v>
      </c>
      <c r="CW37" s="1" t="e">
        <f>AND(#REF!,"AAAAAF+/omQ=")</f>
        <v>#REF!</v>
      </c>
      <c r="CX37" s="1" t="e">
        <f>AND(#REF!,"AAAAAF+/omU=")</f>
        <v>#REF!</v>
      </c>
      <c r="CY37" s="1" t="e">
        <f>AND(#REF!,"AAAAAF+/omY=")</f>
        <v>#REF!</v>
      </c>
      <c r="CZ37" s="1" t="e">
        <f>AND(#REF!,"AAAAAF+/omc=")</f>
        <v>#REF!</v>
      </c>
      <c r="DA37" s="1" t="e">
        <f>AND(#REF!,"AAAAAF+/omg=")</f>
        <v>#REF!</v>
      </c>
      <c r="DB37" s="1" t="e">
        <f>AND(#REF!,"AAAAAF+/omk=")</f>
        <v>#REF!</v>
      </c>
      <c r="DC37" s="1" t="e">
        <f>AND(#REF!,"AAAAAF+/omo=")</f>
        <v>#REF!</v>
      </c>
      <c r="DD37" s="1" t="e">
        <f>AND(#REF!,"AAAAAF+/oms=")</f>
        <v>#REF!</v>
      </c>
      <c r="DE37" s="1" t="e">
        <f>IF(#REF!,"AAAAAF+/omw=",0)</f>
        <v>#REF!</v>
      </c>
      <c r="DF37" s="1" t="e">
        <f>AND(#REF!,"AAAAAF+/om0=")</f>
        <v>#REF!</v>
      </c>
      <c r="DG37" s="1" t="e">
        <f>AND(#REF!,"AAAAAF+/om4=")</f>
        <v>#REF!</v>
      </c>
      <c r="DH37" s="1" t="e">
        <f>AND(#REF!,"AAAAAF+/om8=")</f>
        <v>#REF!</v>
      </c>
      <c r="DI37" s="1" t="e">
        <f>AND(#REF!,"AAAAAF+/onA=")</f>
        <v>#REF!</v>
      </c>
      <c r="DJ37" s="1" t="e">
        <f>AND(#REF!,"AAAAAF+/onE=")</f>
        <v>#REF!</v>
      </c>
      <c r="DK37" s="1" t="e">
        <f>AND(#REF!,"AAAAAF+/onI=")</f>
        <v>#REF!</v>
      </c>
      <c r="DL37" s="1" t="e">
        <f>AND(#REF!,"AAAAAF+/onM=")</f>
        <v>#REF!</v>
      </c>
      <c r="DM37" s="1" t="e">
        <f>AND(#REF!,"AAAAAF+/onQ=")</f>
        <v>#REF!</v>
      </c>
      <c r="DN37" s="1" t="e">
        <f>AND(#REF!,"AAAAAF+/onU=")</f>
        <v>#REF!</v>
      </c>
      <c r="DO37" s="1" t="e">
        <f>AND(#REF!,"AAAAAF+/onY=")</f>
        <v>#REF!</v>
      </c>
      <c r="DP37" s="1" t="e">
        <f>AND(#REF!,"AAAAAF+/onc=")</f>
        <v>#REF!</v>
      </c>
      <c r="DQ37" s="1" t="e">
        <f>AND(#REF!,"AAAAAF+/ong=")</f>
        <v>#REF!</v>
      </c>
      <c r="DR37" s="1" t="e">
        <f>AND(#REF!,"AAAAAF+/onk=")</f>
        <v>#REF!</v>
      </c>
      <c r="DS37" s="1" t="e">
        <f>AND(#REF!,"AAAAAF+/ono=")</f>
        <v>#REF!</v>
      </c>
      <c r="DT37" s="1" t="e">
        <f>AND(#REF!,"AAAAAF+/ons=")</f>
        <v>#REF!</v>
      </c>
      <c r="DU37" s="1" t="e">
        <f>AND(#REF!,"AAAAAF+/onw=")</f>
        <v>#REF!</v>
      </c>
      <c r="DV37" s="1" t="e">
        <f>AND(#REF!,"AAAAAF+/on0=")</f>
        <v>#REF!</v>
      </c>
      <c r="DW37" s="1" t="e">
        <f>AND(#REF!,"AAAAAF+/on4=")</f>
        <v>#REF!</v>
      </c>
      <c r="DX37" s="1" t="e">
        <f>AND(#REF!,"AAAAAF+/on8=")</f>
        <v>#REF!</v>
      </c>
      <c r="DY37" s="1" t="e">
        <f>AND(#REF!,"AAAAAF+/ooA=")</f>
        <v>#REF!</v>
      </c>
      <c r="DZ37" s="1" t="e">
        <f>AND(#REF!,"AAAAAF+/ooE=")</f>
        <v>#REF!</v>
      </c>
      <c r="EA37" s="1" t="e">
        <f>AND(#REF!,"AAAAAF+/ooI=")</f>
        <v>#REF!</v>
      </c>
      <c r="EB37" s="1" t="e">
        <f>AND(#REF!,"AAAAAF+/ooM=")</f>
        <v>#REF!</v>
      </c>
      <c r="EC37" s="1" t="e">
        <f>AND(#REF!,"AAAAAF+/ooQ=")</f>
        <v>#REF!</v>
      </c>
      <c r="ED37" s="1" t="e">
        <f>AND(#REF!,"AAAAAF+/ooU=")</f>
        <v>#REF!</v>
      </c>
      <c r="EE37" s="1" t="e">
        <f>AND(#REF!,"AAAAAF+/ooY=")</f>
        <v>#REF!</v>
      </c>
      <c r="EF37" s="1" t="e">
        <f>AND(#REF!,"AAAAAF+/ooc=")</f>
        <v>#REF!</v>
      </c>
      <c r="EG37" s="1" t="e">
        <f>AND(#REF!,"AAAAAF+/oog=")</f>
        <v>#REF!</v>
      </c>
      <c r="EH37" s="1" t="e">
        <f>AND(#REF!,"AAAAAF+/ook=")</f>
        <v>#REF!</v>
      </c>
      <c r="EI37" s="1" t="e">
        <f>AND(#REF!,"AAAAAF+/ooo=")</f>
        <v>#REF!</v>
      </c>
      <c r="EJ37" s="1" t="e">
        <f>AND(#REF!,"AAAAAF+/oos=")</f>
        <v>#REF!</v>
      </c>
      <c r="EK37" s="1" t="e">
        <f>AND(#REF!,"AAAAAF+/oow=")</f>
        <v>#REF!</v>
      </c>
      <c r="EL37" s="1" t="e">
        <f>AND(#REF!,"AAAAAF+/oo0=")</f>
        <v>#REF!</v>
      </c>
      <c r="EM37" s="1" t="e">
        <f>AND(#REF!,"AAAAAF+/oo4=")</f>
        <v>#REF!</v>
      </c>
      <c r="EN37" s="1" t="e">
        <f>AND(#REF!,"AAAAAF+/oo8=")</f>
        <v>#REF!</v>
      </c>
      <c r="EO37" s="1" t="e">
        <f>AND(#REF!,"AAAAAF+/opA=")</f>
        <v>#REF!</v>
      </c>
      <c r="EP37" s="1" t="e">
        <f>AND(#REF!,"AAAAAF+/opE=")</f>
        <v>#REF!</v>
      </c>
      <c r="EQ37" s="1" t="e">
        <f>AND(#REF!,"AAAAAF+/opI=")</f>
        <v>#REF!</v>
      </c>
      <c r="ER37" s="1" t="e">
        <f>AND(#REF!,"AAAAAF+/opM=")</f>
        <v>#REF!</v>
      </c>
      <c r="ES37" s="1" t="e">
        <f>AND(#REF!,"AAAAAF+/opQ=")</f>
        <v>#REF!</v>
      </c>
      <c r="ET37" s="1" t="e">
        <f>AND(#REF!,"AAAAAF+/opU=")</f>
        <v>#REF!</v>
      </c>
      <c r="EU37" s="1" t="e">
        <f>AND(#REF!,"AAAAAF+/opY=")</f>
        <v>#REF!</v>
      </c>
      <c r="EV37" s="1" t="e">
        <f>AND(#REF!,"AAAAAF+/opc=")</f>
        <v>#REF!</v>
      </c>
      <c r="EW37" s="1" t="e">
        <f>AND(#REF!,"AAAAAF+/opg=")</f>
        <v>#REF!</v>
      </c>
      <c r="EX37" s="1" t="e">
        <f>AND(#REF!,"AAAAAF+/opk=")</f>
        <v>#REF!</v>
      </c>
      <c r="EY37" s="1" t="e">
        <f>AND(#REF!,"AAAAAF+/opo=")</f>
        <v>#REF!</v>
      </c>
      <c r="EZ37" s="1" t="e">
        <f>AND(#REF!,"AAAAAF+/ops=")</f>
        <v>#REF!</v>
      </c>
      <c r="FA37" s="1" t="e">
        <f>AND(#REF!,"AAAAAF+/opw=")</f>
        <v>#REF!</v>
      </c>
      <c r="FB37" s="1" t="e">
        <f>AND(#REF!,"AAAAAF+/op0=")</f>
        <v>#REF!</v>
      </c>
      <c r="FC37" s="1" t="e">
        <f>AND(#REF!,"AAAAAF+/op4=")</f>
        <v>#REF!</v>
      </c>
      <c r="FD37" s="1" t="e">
        <f>AND(#REF!,"AAAAAF+/op8=")</f>
        <v>#REF!</v>
      </c>
      <c r="FE37" s="1" t="e">
        <f>AND(#REF!,"AAAAAF+/oqA=")</f>
        <v>#REF!</v>
      </c>
      <c r="FF37" s="1" t="e">
        <f>AND(#REF!,"AAAAAF+/oqE=")</f>
        <v>#REF!</v>
      </c>
      <c r="FG37" s="1" t="e">
        <f>AND(#REF!,"AAAAAF+/oqI=")</f>
        <v>#REF!</v>
      </c>
      <c r="FH37" s="1" t="e">
        <f>AND(#REF!,"AAAAAF+/oqM=")</f>
        <v>#REF!</v>
      </c>
      <c r="FI37" s="1" t="e">
        <f>AND(#REF!,"AAAAAF+/oqQ=")</f>
        <v>#REF!</v>
      </c>
      <c r="FJ37" s="1" t="e">
        <f>AND(#REF!,"AAAAAF+/oqU=")</f>
        <v>#REF!</v>
      </c>
      <c r="FK37" s="1" t="e">
        <f>AND(#REF!,"AAAAAF+/oqY=")</f>
        <v>#REF!</v>
      </c>
      <c r="FL37" s="1" t="e">
        <f>AND(#REF!,"AAAAAF+/oqc=")</f>
        <v>#REF!</v>
      </c>
      <c r="FM37" s="1" t="e">
        <f>AND(#REF!,"AAAAAF+/oqg=")</f>
        <v>#REF!</v>
      </c>
      <c r="FN37" s="1" t="e">
        <f>AND(#REF!,"AAAAAF+/oqk=")</f>
        <v>#REF!</v>
      </c>
      <c r="FO37" s="1" t="e">
        <f>AND(#REF!,"AAAAAF+/oqo=")</f>
        <v>#REF!</v>
      </c>
      <c r="FP37" s="1" t="e">
        <f>AND(#REF!,"AAAAAF+/oqs=")</f>
        <v>#REF!</v>
      </c>
      <c r="FQ37" s="1" t="e">
        <f>AND(#REF!,"AAAAAF+/oqw=")</f>
        <v>#REF!</v>
      </c>
      <c r="FR37" s="1" t="e">
        <f>AND(#REF!,"AAAAAF+/oq0=")</f>
        <v>#REF!</v>
      </c>
      <c r="FS37" s="1" t="e">
        <f>AND(#REF!,"AAAAAF+/oq4=")</f>
        <v>#REF!</v>
      </c>
      <c r="FT37" s="1" t="e">
        <f>AND(#REF!,"AAAAAF+/oq8=")</f>
        <v>#REF!</v>
      </c>
      <c r="FU37" s="1" t="e">
        <f>AND(#REF!,"AAAAAF+/orA=")</f>
        <v>#REF!</v>
      </c>
      <c r="FV37" s="1" t="e">
        <f>AND(#REF!,"AAAAAF+/orE=")</f>
        <v>#REF!</v>
      </c>
      <c r="FW37" s="1" t="e">
        <f>AND(#REF!,"AAAAAF+/orI=")</f>
        <v>#REF!</v>
      </c>
      <c r="FX37" s="1" t="e">
        <f>AND(#REF!,"AAAAAF+/orM=")</f>
        <v>#REF!</v>
      </c>
      <c r="FY37" s="1" t="e">
        <f>AND(#REF!,"AAAAAF+/orQ=")</f>
        <v>#REF!</v>
      </c>
      <c r="FZ37" s="1" t="e">
        <f>AND(#REF!,"AAAAAF+/orU=")</f>
        <v>#REF!</v>
      </c>
      <c r="GA37" s="1" t="e">
        <f>AND(#REF!,"AAAAAF+/orY=")</f>
        <v>#REF!</v>
      </c>
      <c r="GB37" s="1" t="e">
        <f>AND(#REF!,"AAAAAF+/orc=")</f>
        <v>#REF!</v>
      </c>
      <c r="GC37" s="1" t="e">
        <f>AND(#REF!,"AAAAAF+/org=")</f>
        <v>#REF!</v>
      </c>
      <c r="GD37" s="1" t="e">
        <f>AND(#REF!,"AAAAAF+/ork=")</f>
        <v>#REF!</v>
      </c>
      <c r="GE37" s="1" t="e">
        <f>AND(#REF!,"AAAAAF+/oro=")</f>
        <v>#REF!</v>
      </c>
      <c r="GF37" s="1" t="e">
        <f>AND(#REF!,"AAAAAF+/ors=")</f>
        <v>#REF!</v>
      </c>
      <c r="GG37" s="1" t="e">
        <f>AND(#REF!,"AAAAAF+/orw=")</f>
        <v>#REF!</v>
      </c>
      <c r="GH37" s="1" t="e">
        <f>AND(#REF!,"AAAAAF+/or0=")</f>
        <v>#REF!</v>
      </c>
      <c r="GI37" s="1" t="e">
        <f>AND(#REF!,"AAAAAF+/or4=")</f>
        <v>#REF!</v>
      </c>
      <c r="GJ37" s="1" t="e">
        <f>AND(#REF!,"AAAAAF+/or8=")</f>
        <v>#REF!</v>
      </c>
      <c r="GK37" s="1" t="e">
        <f>AND(#REF!,"AAAAAF+/osA=")</f>
        <v>#REF!</v>
      </c>
      <c r="GL37" s="1" t="e">
        <f>AND(#REF!,"AAAAAF+/osE=")</f>
        <v>#REF!</v>
      </c>
      <c r="GM37" s="1" t="e">
        <f>AND(#REF!,"AAAAAF+/osI=")</f>
        <v>#REF!</v>
      </c>
      <c r="GN37" s="1" t="e">
        <f>AND(#REF!,"AAAAAF+/osM=")</f>
        <v>#REF!</v>
      </c>
      <c r="GO37" s="1" t="e">
        <f>AND(#REF!,"AAAAAF+/osQ=")</f>
        <v>#REF!</v>
      </c>
      <c r="GP37" s="1" t="e">
        <f>AND(#REF!,"AAAAAF+/osU=")</f>
        <v>#REF!</v>
      </c>
      <c r="GQ37" s="1" t="e">
        <f>AND(#REF!,"AAAAAF+/osY=")</f>
        <v>#REF!</v>
      </c>
      <c r="GR37" s="1" t="e">
        <f>AND(#REF!,"AAAAAF+/osc=")</f>
        <v>#REF!</v>
      </c>
      <c r="GS37" s="1" t="e">
        <f>AND(#REF!,"AAAAAF+/osg=")</f>
        <v>#REF!</v>
      </c>
      <c r="GT37" s="1" t="e">
        <f>AND(#REF!,"AAAAAF+/osk=")</f>
        <v>#REF!</v>
      </c>
      <c r="GU37" s="1" t="e">
        <f>AND(#REF!,"AAAAAF+/oso=")</f>
        <v>#REF!</v>
      </c>
      <c r="GV37" s="1" t="e">
        <f>AND(#REF!,"AAAAAF+/oss=")</f>
        <v>#REF!</v>
      </c>
      <c r="GW37" s="1" t="e">
        <f>AND(#REF!,"AAAAAF+/osw=")</f>
        <v>#REF!</v>
      </c>
      <c r="GX37" s="1" t="e">
        <f>AND(#REF!,"AAAAAF+/os0=")</f>
        <v>#REF!</v>
      </c>
      <c r="GY37" s="1" t="e">
        <f>AND(#REF!,"AAAAAF+/os4=")</f>
        <v>#REF!</v>
      </c>
      <c r="GZ37" s="1" t="e">
        <f>AND(#REF!,"AAAAAF+/os8=")</f>
        <v>#REF!</v>
      </c>
      <c r="HA37" s="1" t="e">
        <f>AND(#REF!,"AAAAAF+/otA=")</f>
        <v>#REF!</v>
      </c>
      <c r="HB37" s="1" t="e">
        <f>AND(#REF!,"AAAAAF+/otE=")</f>
        <v>#REF!</v>
      </c>
      <c r="HC37" s="1" t="e">
        <f>AND(#REF!,"AAAAAF+/otI=")</f>
        <v>#REF!</v>
      </c>
      <c r="HD37" s="1" t="e">
        <f>IF(#REF!,"AAAAAF+/otM=",0)</f>
        <v>#REF!</v>
      </c>
      <c r="HE37" s="1" t="e">
        <f>AND(#REF!,"AAAAAF+/otQ=")</f>
        <v>#REF!</v>
      </c>
      <c r="HF37" s="1" t="e">
        <f>AND(#REF!,"AAAAAF+/otU=")</f>
        <v>#REF!</v>
      </c>
      <c r="HG37" s="1" t="e">
        <f>AND(#REF!,"AAAAAF+/otY=")</f>
        <v>#REF!</v>
      </c>
      <c r="HH37" s="1" t="e">
        <f>AND(#REF!,"AAAAAF+/otc=")</f>
        <v>#REF!</v>
      </c>
      <c r="HI37" s="1" t="e">
        <f>AND(#REF!,"AAAAAF+/otg=")</f>
        <v>#REF!</v>
      </c>
      <c r="HJ37" s="1" t="e">
        <f>AND(#REF!,"AAAAAF+/otk=")</f>
        <v>#REF!</v>
      </c>
      <c r="HK37" s="1" t="e">
        <f>AND(#REF!,"AAAAAF+/oto=")</f>
        <v>#REF!</v>
      </c>
      <c r="HL37" s="1" t="e">
        <f>AND(#REF!,"AAAAAF+/ots=")</f>
        <v>#REF!</v>
      </c>
      <c r="HM37" s="1" t="e">
        <f>AND(#REF!,"AAAAAF+/otw=")</f>
        <v>#REF!</v>
      </c>
      <c r="HN37" s="1" t="e">
        <f>AND(#REF!,"AAAAAF+/ot0=")</f>
        <v>#REF!</v>
      </c>
      <c r="HO37" s="1" t="e">
        <f>AND(#REF!,"AAAAAF+/ot4=")</f>
        <v>#REF!</v>
      </c>
      <c r="HP37" s="1" t="e">
        <f>AND(#REF!,"AAAAAF+/ot8=")</f>
        <v>#REF!</v>
      </c>
      <c r="HQ37" s="1" t="e">
        <f>AND(#REF!,"AAAAAF+/ouA=")</f>
        <v>#REF!</v>
      </c>
      <c r="HR37" s="1" t="e">
        <f>AND(#REF!,"AAAAAF+/ouE=")</f>
        <v>#REF!</v>
      </c>
      <c r="HS37" s="1" t="e">
        <f>AND(#REF!,"AAAAAF+/ouI=")</f>
        <v>#REF!</v>
      </c>
      <c r="HT37" s="1" t="e">
        <f>AND(#REF!,"AAAAAF+/ouM=")</f>
        <v>#REF!</v>
      </c>
      <c r="HU37" s="1" t="e">
        <f>AND(#REF!,"AAAAAF+/ouQ=")</f>
        <v>#REF!</v>
      </c>
      <c r="HV37" s="1" t="e">
        <f>AND(#REF!,"AAAAAF+/ouU=")</f>
        <v>#REF!</v>
      </c>
      <c r="HW37" s="1" t="e">
        <f>AND(#REF!,"AAAAAF+/ouY=")</f>
        <v>#REF!</v>
      </c>
      <c r="HX37" s="1" t="e">
        <f>AND(#REF!,"AAAAAF+/ouc=")</f>
        <v>#REF!</v>
      </c>
      <c r="HY37" s="1" t="e">
        <f>AND(#REF!,"AAAAAF+/oug=")</f>
        <v>#REF!</v>
      </c>
      <c r="HZ37" s="1" t="e">
        <f>AND(#REF!,"AAAAAF+/ouk=")</f>
        <v>#REF!</v>
      </c>
      <c r="IA37" s="1" t="e">
        <f>AND(#REF!,"AAAAAF+/ouo=")</f>
        <v>#REF!</v>
      </c>
      <c r="IB37" s="1" t="e">
        <f>AND(#REF!,"AAAAAF+/ous=")</f>
        <v>#REF!</v>
      </c>
      <c r="IC37" s="1" t="e">
        <f>AND(#REF!,"AAAAAF+/ouw=")</f>
        <v>#REF!</v>
      </c>
      <c r="ID37" s="1" t="e">
        <f>AND(#REF!,"AAAAAF+/ou0=")</f>
        <v>#REF!</v>
      </c>
      <c r="IE37" s="1" t="e">
        <f>AND(#REF!,"AAAAAF+/ou4=")</f>
        <v>#REF!</v>
      </c>
      <c r="IF37" s="1" t="e">
        <f>AND(#REF!,"AAAAAF+/ou8=")</f>
        <v>#REF!</v>
      </c>
      <c r="IG37" s="1" t="e">
        <f>AND(#REF!,"AAAAAF+/ovA=")</f>
        <v>#REF!</v>
      </c>
      <c r="IH37" s="1" t="e">
        <f>AND(#REF!,"AAAAAF+/ovE=")</f>
        <v>#REF!</v>
      </c>
      <c r="II37" s="1" t="e">
        <f>AND(#REF!,"AAAAAF+/ovI=")</f>
        <v>#REF!</v>
      </c>
      <c r="IJ37" s="1" t="e">
        <f>AND(#REF!,"AAAAAF+/ovM=")</f>
        <v>#REF!</v>
      </c>
      <c r="IK37" s="1" t="e">
        <f>AND(#REF!,"AAAAAF+/ovQ=")</f>
        <v>#REF!</v>
      </c>
      <c r="IL37" s="1" t="e">
        <f>AND(#REF!,"AAAAAF+/ovU=")</f>
        <v>#REF!</v>
      </c>
      <c r="IM37" s="1" t="e">
        <f>AND(#REF!,"AAAAAF+/ovY=")</f>
        <v>#REF!</v>
      </c>
      <c r="IN37" s="1" t="e">
        <f>AND(#REF!,"AAAAAF+/ovc=")</f>
        <v>#REF!</v>
      </c>
      <c r="IO37" s="1" t="e">
        <f>AND(#REF!,"AAAAAF+/ovg=")</f>
        <v>#REF!</v>
      </c>
      <c r="IP37" s="1" t="e">
        <f>AND(#REF!,"AAAAAF+/ovk=")</f>
        <v>#REF!</v>
      </c>
      <c r="IQ37" s="1" t="e">
        <f>AND(#REF!,"AAAAAF+/ovo=")</f>
        <v>#REF!</v>
      </c>
      <c r="IR37" s="1" t="e">
        <f>AND(#REF!,"AAAAAF+/ovs=")</f>
        <v>#REF!</v>
      </c>
      <c r="IS37" s="1" t="e">
        <f>AND(#REF!,"AAAAAF+/ovw=")</f>
        <v>#REF!</v>
      </c>
      <c r="IT37" s="1" t="e">
        <f>AND(#REF!,"AAAAAF+/ov0=")</f>
        <v>#REF!</v>
      </c>
      <c r="IU37" s="1" t="e">
        <f>AND(#REF!,"AAAAAF+/ov4=")</f>
        <v>#REF!</v>
      </c>
      <c r="IV37" s="1" t="e">
        <f>AND(#REF!,"AAAAAF+/ov8=")</f>
        <v>#REF!</v>
      </c>
    </row>
    <row r="38" spans="1:256" ht="15" customHeight="1" x14ac:dyDescent="0.2">
      <c r="A38" s="1" t="e">
        <f>AND(#REF!,"AAAAAFMx/gA=")</f>
        <v>#REF!</v>
      </c>
      <c r="B38" s="1" t="e">
        <f>AND(#REF!,"AAAAAFMx/gE=")</f>
        <v>#REF!</v>
      </c>
      <c r="C38" s="1" t="e">
        <f>AND(#REF!,"AAAAAFMx/gI=")</f>
        <v>#REF!</v>
      </c>
      <c r="D38" s="1" t="e">
        <f>AND(#REF!,"AAAAAFMx/gM=")</f>
        <v>#REF!</v>
      </c>
      <c r="E38" s="1" t="e">
        <f>AND(#REF!,"AAAAAFMx/gQ=")</f>
        <v>#REF!</v>
      </c>
      <c r="F38" s="1" t="e">
        <f>AND(#REF!,"AAAAAFMx/gU=")</f>
        <v>#REF!</v>
      </c>
      <c r="G38" s="1" t="e">
        <f>AND(#REF!,"AAAAAFMx/gY=")</f>
        <v>#REF!</v>
      </c>
      <c r="H38" s="1" t="e">
        <f>AND(#REF!,"AAAAAFMx/gc=")</f>
        <v>#REF!</v>
      </c>
      <c r="I38" s="1" t="e">
        <f>AND(#REF!,"AAAAAFMx/gg=")</f>
        <v>#REF!</v>
      </c>
      <c r="J38" s="1" t="e">
        <f>AND(#REF!,"AAAAAFMx/gk=")</f>
        <v>#REF!</v>
      </c>
      <c r="K38" s="1" t="e">
        <f>AND(#REF!,"AAAAAFMx/go=")</f>
        <v>#REF!</v>
      </c>
      <c r="L38" s="1" t="e">
        <f>AND(#REF!,"AAAAAFMx/gs=")</f>
        <v>#REF!</v>
      </c>
      <c r="M38" s="1" t="e">
        <f>AND(#REF!,"AAAAAFMx/gw=")</f>
        <v>#REF!</v>
      </c>
      <c r="N38" s="1" t="e">
        <f>AND(#REF!,"AAAAAFMx/g0=")</f>
        <v>#REF!</v>
      </c>
      <c r="O38" s="1" t="e">
        <f>AND(#REF!,"AAAAAFMx/g4=")</f>
        <v>#REF!</v>
      </c>
      <c r="P38" s="1" t="e">
        <f>AND(#REF!,"AAAAAFMx/g8=")</f>
        <v>#REF!</v>
      </c>
      <c r="Q38" s="1" t="e">
        <f>AND(#REF!,"AAAAAFMx/hA=")</f>
        <v>#REF!</v>
      </c>
      <c r="R38" s="1" t="e">
        <f>AND(#REF!,"AAAAAFMx/hE=")</f>
        <v>#REF!</v>
      </c>
      <c r="S38" s="1" t="e">
        <f>AND(#REF!,"AAAAAFMx/hI=")</f>
        <v>#REF!</v>
      </c>
      <c r="T38" s="1" t="e">
        <f>AND(#REF!,"AAAAAFMx/hM=")</f>
        <v>#REF!</v>
      </c>
      <c r="U38" s="1" t="e">
        <f>AND(#REF!,"AAAAAFMx/hQ=")</f>
        <v>#REF!</v>
      </c>
      <c r="V38" s="1" t="e">
        <f>AND(#REF!,"AAAAAFMx/hU=")</f>
        <v>#REF!</v>
      </c>
      <c r="W38" s="1" t="e">
        <f>AND(#REF!,"AAAAAFMx/hY=")</f>
        <v>#REF!</v>
      </c>
      <c r="X38" s="1" t="e">
        <f>AND(#REF!,"AAAAAFMx/hc=")</f>
        <v>#REF!</v>
      </c>
      <c r="Y38" s="1" t="e">
        <f>AND(#REF!,"AAAAAFMx/hg=")</f>
        <v>#REF!</v>
      </c>
      <c r="Z38" s="1" t="e">
        <f>AND(#REF!,"AAAAAFMx/hk=")</f>
        <v>#REF!</v>
      </c>
      <c r="AA38" s="1" t="e">
        <f>AND(#REF!,"AAAAAFMx/ho=")</f>
        <v>#REF!</v>
      </c>
      <c r="AB38" s="1" t="e">
        <f>AND(#REF!,"AAAAAFMx/hs=")</f>
        <v>#REF!</v>
      </c>
      <c r="AC38" s="1" t="e">
        <f>AND(#REF!,"AAAAAFMx/hw=")</f>
        <v>#REF!</v>
      </c>
      <c r="AD38" s="1" t="e">
        <f>AND(#REF!,"AAAAAFMx/h0=")</f>
        <v>#REF!</v>
      </c>
      <c r="AE38" s="1" t="e">
        <f>AND(#REF!,"AAAAAFMx/h4=")</f>
        <v>#REF!</v>
      </c>
      <c r="AF38" s="1" t="e">
        <f>AND(#REF!,"AAAAAFMx/h8=")</f>
        <v>#REF!</v>
      </c>
      <c r="AG38" s="1" t="e">
        <f>AND(#REF!,"AAAAAFMx/iA=")</f>
        <v>#REF!</v>
      </c>
      <c r="AH38" s="1" t="e">
        <f>AND(#REF!,"AAAAAFMx/iE=")</f>
        <v>#REF!</v>
      </c>
      <c r="AI38" s="1" t="e">
        <f>AND(#REF!,"AAAAAFMx/iI=")</f>
        <v>#REF!</v>
      </c>
      <c r="AJ38" s="1" t="e">
        <f>AND(#REF!,"AAAAAFMx/iM=")</f>
        <v>#REF!</v>
      </c>
      <c r="AK38" s="1" t="e">
        <f>AND(#REF!,"AAAAAFMx/iQ=")</f>
        <v>#REF!</v>
      </c>
      <c r="AL38" s="1" t="e">
        <f>AND(#REF!,"AAAAAFMx/iU=")</f>
        <v>#REF!</v>
      </c>
      <c r="AM38" s="1" t="e">
        <f>AND(#REF!,"AAAAAFMx/iY=")</f>
        <v>#REF!</v>
      </c>
      <c r="AN38" s="1" t="e">
        <f>AND(#REF!,"AAAAAFMx/ic=")</f>
        <v>#REF!</v>
      </c>
      <c r="AO38" s="1" t="e">
        <f>AND(#REF!,"AAAAAFMx/ig=")</f>
        <v>#REF!</v>
      </c>
      <c r="AP38" s="1" t="e">
        <f>AND(#REF!,"AAAAAFMx/ik=")</f>
        <v>#REF!</v>
      </c>
      <c r="AQ38" s="1" t="e">
        <f>AND(#REF!,"AAAAAFMx/io=")</f>
        <v>#REF!</v>
      </c>
      <c r="AR38" s="1" t="e">
        <f>AND(#REF!,"AAAAAFMx/is=")</f>
        <v>#REF!</v>
      </c>
      <c r="AS38" s="1" t="e">
        <f>AND(#REF!,"AAAAAFMx/iw=")</f>
        <v>#REF!</v>
      </c>
      <c r="AT38" s="1" t="e">
        <f>AND(#REF!,"AAAAAFMx/i0=")</f>
        <v>#REF!</v>
      </c>
      <c r="AU38" s="1" t="e">
        <f>AND(#REF!,"AAAAAFMx/i4=")</f>
        <v>#REF!</v>
      </c>
      <c r="AV38" s="1" t="e">
        <f>AND(#REF!,"AAAAAFMx/i8=")</f>
        <v>#REF!</v>
      </c>
      <c r="AW38" s="1" t="e">
        <f>AND(#REF!,"AAAAAFMx/jA=")</f>
        <v>#REF!</v>
      </c>
      <c r="AX38" s="1" t="e">
        <f>AND(#REF!,"AAAAAFMx/jE=")</f>
        <v>#REF!</v>
      </c>
      <c r="AY38" s="1" t="e">
        <f>AND(#REF!,"AAAAAFMx/jI=")</f>
        <v>#REF!</v>
      </c>
      <c r="AZ38" s="1" t="e">
        <f>AND(#REF!,"AAAAAFMx/jM=")</f>
        <v>#REF!</v>
      </c>
      <c r="BA38" s="1" t="e">
        <f>AND(#REF!,"AAAAAFMx/jQ=")</f>
        <v>#REF!</v>
      </c>
      <c r="BB38" s="1" t="e">
        <f>AND(#REF!,"AAAAAFMx/jU=")</f>
        <v>#REF!</v>
      </c>
      <c r="BC38" s="1" t="e">
        <f>AND(#REF!,"AAAAAFMx/jY=")</f>
        <v>#REF!</v>
      </c>
      <c r="BD38" s="1" t="e">
        <f>AND(#REF!,"AAAAAFMx/jc=")</f>
        <v>#REF!</v>
      </c>
      <c r="BE38" s="1" t="e">
        <f>AND(#REF!,"AAAAAFMx/jg=")</f>
        <v>#REF!</v>
      </c>
      <c r="BF38" s="1" t="e">
        <f>AND(#REF!,"AAAAAFMx/jk=")</f>
        <v>#REF!</v>
      </c>
      <c r="BG38" s="1" t="e">
        <f>IF(#REF!,"AAAAAFMx/jo=",0)</f>
        <v>#REF!</v>
      </c>
      <c r="BH38" s="1" t="e">
        <f>AND(#REF!,"AAAAAFMx/js=")</f>
        <v>#REF!</v>
      </c>
      <c r="BI38" s="1" t="e">
        <f>AND(#REF!,"AAAAAFMx/jw=")</f>
        <v>#REF!</v>
      </c>
      <c r="BJ38" s="1" t="e">
        <f>AND(#REF!,"AAAAAFMx/j0=")</f>
        <v>#REF!</v>
      </c>
      <c r="BK38" s="1" t="e">
        <f>AND(#REF!,"AAAAAFMx/j4=")</f>
        <v>#REF!</v>
      </c>
      <c r="BL38" s="1" t="e">
        <f>AND(#REF!,"AAAAAFMx/j8=")</f>
        <v>#REF!</v>
      </c>
      <c r="BM38" s="1" t="e">
        <f>AND(#REF!,"AAAAAFMx/kA=")</f>
        <v>#REF!</v>
      </c>
      <c r="BN38" s="1" t="e">
        <f>AND(#REF!,"AAAAAFMx/kE=")</f>
        <v>#REF!</v>
      </c>
      <c r="BO38" s="1" t="e">
        <f>AND(#REF!,"AAAAAFMx/kI=")</f>
        <v>#REF!</v>
      </c>
      <c r="BP38" s="1" t="e">
        <f>AND(#REF!,"AAAAAFMx/kM=")</f>
        <v>#REF!</v>
      </c>
      <c r="BQ38" s="1" t="e">
        <f>AND(#REF!,"AAAAAFMx/kQ=")</f>
        <v>#REF!</v>
      </c>
      <c r="BR38" s="1" t="e">
        <f>AND(#REF!,"AAAAAFMx/kU=")</f>
        <v>#REF!</v>
      </c>
      <c r="BS38" s="1" t="e">
        <f>AND(#REF!,"AAAAAFMx/kY=")</f>
        <v>#REF!</v>
      </c>
      <c r="BT38" s="1" t="e">
        <f>AND(#REF!,"AAAAAFMx/kc=")</f>
        <v>#REF!</v>
      </c>
      <c r="BU38" s="1" t="e">
        <f>AND(#REF!,"AAAAAFMx/kg=")</f>
        <v>#REF!</v>
      </c>
      <c r="BV38" s="1" t="e">
        <f>AND(#REF!,"AAAAAFMx/kk=")</f>
        <v>#REF!</v>
      </c>
      <c r="BW38" s="1" t="e">
        <f>AND(#REF!,"AAAAAFMx/ko=")</f>
        <v>#REF!</v>
      </c>
      <c r="BX38" s="1" t="e">
        <f>AND(#REF!,"AAAAAFMx/ks=")</f>
        <v>#REF!</v>
      </c>
      <c r="BY38" s="1" t="e">
        <f>AND(#REF!,"AAAAAFMx/kw=")</f>
        <v>#REF!</v>
      </c>
      <c r="BZ38" s="1" t="e">
        <f>AND(#REF!,"AAAAAFMx/k0=")</f>
        <v>#REF!</v>
      </c>
      <c r="CA38" s="1" t="e">
        <f>AND(#REF!,"AAAAAFMx/k4=")</f>
        <v>#REF!</v>
      </c>
      <c r="CB38" s="1" t="e">
        <f>AND(#REF!,"AAAAAFMx/k8=")</f>
        <v>#REF!</v>
      </c>
      <c r="CC38" s="1" t="e">
        <f>AND(#REF!,"AAAAAFMx/lA=")</f>
        <v>#REF!</v>
      </c>
      <c r="CD38" s="1" t="e">
        <f>AND(#REF!,"AAAAAFMx/lE=")</f>
        <v>#REF!</v>
      </c>
      <c r="CE38" s="1" t="e">
        <f>AND(#REF!,"AAAAAFMx/lI=")</f>
        <v>#REF!</v>
      </c>
      <c r="CF38" s="1" t="e">
        <f>AND(#REF!,"AAAAAFMx/lM=")</f>
        <v>#REF!</v>
      </c>
      <c r="CG38" s="1" t="e">
        <f>AND(#REF!,"AAAAAFMx/lQ=")</f>
        <v>#REF!</v>
      </c>
      <c r="CH38" s="1" t="e">
        <f>AND(#REF!,"AAAAAFMx/lU=")</f>
        <v>#REF!</v>
      </c>
      <c r="CI38" s="1" t="e">
        <f>AND(#REF!,"AAAAAFMx/lY=")</f>
        <v>#REF!</v>
      </c>
      <c r="CJ38" s="1" t="e">
        <f>AND(#REF!,"AAAAAFMx/lc=")</f>
        <v>#REF!</v>
      </c>
      <c r="CK38" s="1" t="e">
        <f>AND(#REF!,"AAAAAFMx/lg=")</f>
        <v>#REF!</v>
      </c>
      <c r="CL38" s="1" t="e">
        <f>AND(#REF!,"AAAAAFMx/lk=")</f>
        <v>#REF!</v>
      </c>
      <c r="CM38" s="1" t="e">
        <f>AND(#REF!,"AAAAAFMx/lo=")</f>
        <v>#REF!</v>
      </c>
      <c r="CN38" s="1" t="e">
        <f>AND(#REF!,"AAAAAFMx/ls=")</f>
        <v>#REF!</v>
      </c>
      <c r="CO38" s="1" t="e">
        <f>AND(#REF!,"AAAAAFMx/lw=")</f>
        <v>#REF!</v>
      </c>
      <c r="CP38" s="1" t="e">
        <f>AND(#REF!,"AAAAAFMx/l0=")</f>
        <v>#REF!</v>
      </c>
      <c r="CQ38" s="1" t="e">
        <f>AND(#REF!,"AAAAAFMx/l4=")</f>
        <v>#REF!</v>
      </c>
      <c r="CR38" s="1" t="e">
        <f>AND(#REF!,"AAAAAFMx/l8=")</f>
        <v>#REF!</v>
      </c>
      <c r="CS38" s="1" t="e">
        <f>AND(#REF!,"AAAAAFMx/mA=")</f>
        <v>#REF!</v>
      </c>
      <c r="CT38" s="1" t="e">
        <f>AND(#REF!,"AAAAAFMx/mE=")</f>
        <v>#REF!</v>
      </c>
      <c r="CU38" s="1" t="e">
        <f>AND(#REF!,"AAAAAFMx/mI=")</f>
        <v>#REF!</v>
      </c>
      <c r="CV38" s="1" t="e">
        <f>AND(#REF!,"AAAAAFMx/mM=")</f>
        <v>#REF!</v>
      </c>
      <c r="CW38" s="1" t="e">
        <f>AND(#REF!,"AAAAAFMx/mQ=")</f>
        <v>#REF!</v>
      </c>
      <c r="CX38" s="1" t="e">
        <f>AND(#REF!,"AAAAAFMx/mU=")</f>
        <v>#REF!</v>
      </c>
      <c r="CY38" s="1" t="e">
        <f>AND(#REF!,"AAAAAFMx/mY=")</f>
        <v>#REF!</v>
      </c>
      <c r="CZ38" s="1" t="e">
        <f>AND(#REF!,"AAAAAFMx/mc=")</f>
        <v>#REF!</v>
      </c>
      <c r="DA38" s="1" t="e">
        <f>AND(#REF!,"AAAAAFMx/mg=")</f>
        <v>#REF!</v>
      </c>
      <c r="DB38" s="1" t="e">
        <f>AND(#REF!,"AAAAAFMx/mk=")</f>
        <v>#REF!</v>
      </c>
      <c r="DC38" s="1" t="e">
        <f>AND(#REF!,"AAAAAFMx/mo=")</f>
        <v>#REF!</v>
      </c>
      <c r="DD38" s="1" t="e">
        <f>AND(#REF!,"AAAAAFMx/ms=")</f>
        <v>#REF!</v>
      </c>
      <c r="DE38" s="1" t="e">
        <f>AND(#REF!,"AAAAAFMx/mw=")</f>
        <v>#REF!</v>
      </c>
      <c r="DF38" s="1" t="e">
        <f>AND(#REF!,"AAAAAFMx/m0=")</f>
        <v>#REF!</v>
      </c>
      <c r="DG38" s="1" t="e">
        <f>AND(#REF!,"AAAAAFMx/m4=")</f>
        <v>#REF!</v>
      </c>
      <c r="DH38" s="1" t="e">
        <f>AND(#REF!,"AAAAAFMx/m8=")</f>
        <v>#REF!</v>
      </c>
      <c r="DI38" s="1" t="e">
        <f>AND(#REF!,"AAAAAFMx/nA=")</f>
        <v>#REF!</v>
      </c>
      <c r="DJ38" s="1" t="e">
        <f>AND(#REF!,"AAAAAFMx/nE=")</f>
        <v>#REF!</v>
      </c>
      <c r="DK38" s="1" t="e">
        <f>AND(#REF!,"AAAAAFMx/nI=")</f>
        <v>#REF!</v>
      </c>
      <c r="DL38" s="1" t="e">
        <f>AND(#REF!,"AAAAAFMx/nM=")</f>
        <v>#REF!</v>
      </c>
      <c r="DM38" s="1" t="e">
        <f>AND(#REF!,"AAAAAFMx/nQ=")</f>
        <v>#REF!</v>
      </c>
      <c r="DN38" s="1" t="e">
        <f>AND(#REF!,"AAAAAFMx/nU=")</f>
        <v>#REF!</v>
      </c>
      <c r="DO38" s="1" t="e">
        <f>AND(#REF!,"AAAAAFMx/nY=")</f>
        <v>#REF!</v>
      </c>
      <c r="DP38" s="1" t="e">
        <f>AND(#REF!,"AAAAAFMx/nc=")</f>
        <v>#REF!</v>
      </c>
      <c r="DQ38" s="1" t="e">
        <f>AND(#REF!,"AAAAAFMx/ng=")</f>
        <v>#REF!</v>
      </c>
      <c r="DR38" s="1" t="e">
        <f>AND(#REF!,"AAAAAFMx/nk=")</f>
        <v>#REF!</v>
      </c>
      <c r="DS38" s="1" t="e">
        <f>AND(#REF!,"AAAAAFMx/no=")</f>
        <v>#REF!</v>
      </c>
      <c r="DT38" s="1" t="e">
        <f>AND(#REF!,"AAAAAFMx/ns=")</f>
        <v>#REF!</v>
      </c>
      <c r="DU38" s="1" t="e">
        <f>AND(#REF!,"AAAAAFMx/nw=")</f>
        <v>#REF!</v>
      </c>
      <c r="DV38" s="1" t="e">
        <f>AND(#REF!,"AAAAAFMx/n0=")</f>
        <v>#REF!</v>
      </c>
      <c r="DW38" s="1" t="e">
        <f>AND(#REF!,"AAAAAFMx/n4=")</f>
        <v>#REF!</v>
      </c>
      <c r="DX38" s="1" t="e">
        <f>AND(#REF!,"AAAAAFMx/n8=")</f>
        <v>#REF!</v>
      </c>
      <c r="DY38" s="1" t="e">
        <f>AND(#REF!,"AAAAAFMx/oA=")</f>
        <v>#REF!</v>
      </c>
      <c r="DZ38" s="1" t="e">
        <f>AND(#REF!,"AAAAAFMx/oE=")</f>
        <v>#REF!</v>
      </c>
      <c r="EA38" s="1" t="e">
        <f>AND(#REF!,"AAAAAFMx/oI=")</f>
        <v>#REF!</v>
      </c>
      <c r="EB38" s="1" t="e">
        <f>AND(#REF!,"AAAAAFMx/oM=")</f>
        <v>#REF!</v>
      </c>
      <c r="EC38" s="1" t="e">
        <f>AND(#REF!,"AAAAAFMx/oQ=")</f>
        <v>#REF!</v>
      </c>
      <c r="ED38" s="1" t="e">
        <f>AND(#REF!,"AAAAAFMx/oU=")</f>
        <v>#REF!</v>
      </c>
      <c r="EE38" s="1" t="e">
        <f>AND(#REF!,"AAAAAFMx/oY=")</f>
        <v>#REF!</v>
      </c>
      <c r="EF38" s="1" t="e">
        <f>AND(#REF!,"AAAAAFMx/oc=")</f>
        <v>#REF!</v>
      </c>
      <c r="EG38" s="1" t="e">
        <f>AND(#REF!,"AAAAAFMx/og=")</f>
        <v>#REF!</v>
      </c>
      <c r="EH38" s="1" t="e">
        <f>AND(#REF!,"AAAAAFMx/ok=")</f>
        <v>#REF!</v>
      </c>
      <c r="EI38" s="1" t="e">
        <f>AND(#REF!,"AAAAAFMx/oo=")</f>
        <v>#REF!</v>
      </c>
      <c r="EJ38" s="1" t="e">
        <f>AND(#REF!,"AAAAAFMx/os=")</f>
        <v>#REF!</v>
      </c>
      <c r="EK38" s="1" t="e">
        <f>AND(#REF!,"AAAAAFMx/ow=")</f>
        <v>#REF!</v>
      </c>
      <c r="EL38" s="1" t="e">
        <f>AND(#REF!,"AAAAAFMx/o0=")</f>
        <v>#REF!</v>
      </c>
      <c r="EM38" s="1" t="e">
        <f>AND(#REF!,"AAAAAFMx/o4=")</f>
        <v>#REF!</v>
      </c>
      <c r="EN38" s="1" t="e">
        <f>AND(#REF!,"AAAAAFMx/o8=")</f>
        <v>#REF!</v>
      </c>
      <c r="EO38" s="1" t="e">
        <f>AND(#REF!,"AAAAAFMx/pA=")</f>
        <v>#REF!</v>
      </c>
      <c r="EP38" s="1" t="e">
        <f>AND(#REF!,"AAAAAFMx/pE=")</f>
        <v>#REF!</v>
      </c>
      <c r="EQ38" s="1" t="e">
        <f>AND(#REF!,"AAAAAFMx/pI=")</f>
        <v>#REF!</v>
      </c>
      <c r="ER38" s="1" t="e">
        <f>AND(#REF!,"AAAAAFMx/pM=")</f>
        <v>#REF!</v>
      </c>
      <c r="ES38" s="1" t="e">
        <f>AND(#REF!,"AAAAAFMx/pQ=")</f>
        <v>#REF!</v>
      </c>
      <c r="ET38" s="1" t="e">
        <f>AND(#REF!,"AAAAAFMx/pU=")</f>
        <v>#REF!</v>
      </c>
      <c r="EU38" s="1" t="e">
        <f>AND(#REF!,"AAAAAFMx/pY=")</f>
        <v>#REF!</v>
      </c>
      <c r="EV38" s="1" t="e">
        <f>AND(#REF!,"AAAAAFMx/pc=")</f>
        <v>#REF!</v>
      </c>
      <c r="EW38" s="1" t="e">
        <f>AND(#REF!,"AAAAAFMx/pg=")</f>
        <v>#REF!</v>
      </c>
      <c r="EX38" s="1" t="e">
        <f>AND(#REF!,"AAAAAFMx/pk=")</f>
        <v>#REF!</v>
      </c>
      <c r="EY38" s="1" t="e">
        <f>AND(#REF!,"AAAAAFMx/po=")</f>
        <v>#REF!</v>
      </c>
      <c r="EZ38" s="1" t="e">
        <f>AND(#REF!,"AAAAAFMx/ps=")</f>
        <v>#REF!</v>
      </c>
      <c r="FA38" s="1" t="e">
        <f>AND(#REF!,"AAAAAFMx/pw=")</f>
        <v>#REF!</v>
      </c>
      <c r="FB38" s="1" t="e">
        <f>AND(#REF!,"AAAAAFMx/p0=")</f>
        <v>#REF!</v>
      </c>
      <c r="FC38" s="1" t="e">
        <f>AND(#REF!,"AAAAAFMx/p4=")</f>
        <v>#REF!</v>
      </c>
      <c r="FD38" s="1" t="e">
        <f>AND(#REF!,"AAAAAFMx/p8=")</f>
        <v>#REF!</v>
      </c>
      <c r="FE38" s="1" t="e">
        <f>AND(#REF!,"AAAAAFMx/qA=")</f>
        <v>#REF!</v>
      </c>
      <c r="FF38" s="1" t="e">
        <f>IF(#REF!,"AAAAAFMx/qE=",0)</f>
        <v>#REF!</v>
      </c>
      <c r="FG38" s="1" t="e">
        <f>AND(#REF!,"AAAAAFMx/qI=")</f>
        <v>#REF!</v>
      </c>
      <c r="FH38" s="1" t="e">
        <f>AND(#REF!,"AAAAAFMx/qM=")</f>
        <v>#REF!</v>
      </c>
      <c r="FI38" s="1" t="e">
        <f>AND(#REF!,"AAAAAFMx/qQ=")</f>
        <v>#REF!</v>
      </c>
      <c r="FJ38" s="1" t="e">
        <f>AND(#REF!,"AAAAAFMx/qU=")</f>
        <v>#REF!</v>
      </c>
      <c r="FK38" s="1" t="e">
        <f>AND(#REF!,"AAAAAFMx/qY=")</f>
        <v>#REF!</v>
      </c>
      <c r="FL38" s="1" t="e">
        <f>AND(#REF!,"AAAAAFMx/qc=")</f>
        <v>#REF!</v>
      </c>
      <c r="FM38" s="1" t="e">
        <f>AND(#REF!,"AAAAAFMx/qg=")</f>
        <v>#REF!</v>
      </c>
      <c r="FN38" s="1" t="e">
        <f>AND(#REF!,"AAAAAFMx/qk=")</f>
        <v>#REF!</v>
      </c>
      <c r="FO38" s="1" t="e">
        <f>AND(#REF!,"AAAAAFMx/qo=")</f>
        <v>#REF!</v>
      </c>
      <c r="FP38" s="1" t="e">
        <f>AND(#REF!,"AAAAAFMx/qs=")</f>
        <v>#REF!</v>
      </c>
      <c r="FQ38" s="1" t="e">
        <f>AND(#REF!,"AAAAAFMx/qw=")</f>
        <v>#REF!</v>
      </c>
      <c r="FR38" s="1" t="e">
        <f>AND(#REF!,"AAAAAFMx/q0=")</f>
        <v>#REF!</v>
      </c>
      <c r="FS38" s="1" t="e">
        <f>AND(#REF!,"AAAAAFMx/q4=")</f>
        <v>#REF!</v>
      </c>
      <c r="FT38" s="1" t="e">
        <f>AND(#REF!,"AAAAAFMx/q8=")</f>
        <v>#REF!</v>
      </c>
      <c r="FU38" s="1" t="e">
        <f>AND(#REF!,"AAAAAFMx/rA=")</f>
        <v>#REF!</v>
      </c>
      <c r="FV38" s="1" t="e">
        <f>AND(#REF!,"AAAAAFMx/rE=")</f>
        <v>#REF!</v>
      </c>
      <c r="FW38" s="1" t="e">
        <f>AND(#REF!,"AAAAAFMx/rI=")</f>
        <v>#REF!</v>
      </c>
      <c r="FX38" s="1" t="e">
        <f>AND(#REF!,"AAAAAFMx/rM=")</f>
        <v>#REF!</v>
      </c>
      <c r="FY38" s="1" t="e">
        <f>AND(#REF!,"AAAAAFMx/rQ=")</f>
        <v>#REF!</v>
      </c>
      <c r="FZ38" s="1" t="e">
        <f>AND(#REF!,"AAAAAFMx/rU=")</f>
        <v>#REF!</v>
      </c>
      <c r="GA38" s="1" t="e">
        <f>AND(#REF!,"AAAAAFMx/rY=")</f>
        <v>#REF!</v>
      </c>
      <c r="GB38" s="1" t="e">
        <f>AND(#REF!,"AAAAAFMx/rc=")</f>
        <v>#REF!</v>
      </c>
      <c r="GC38" s="1" t="e">
        <f>AND(#REF!,"AAAAAFMx/rg=")</f>
        <v>#REF!</v>
      </c>
      <c r="GD38" s="1" t="e">
        <f>AND(#REF!,"AAAAAFMx/rk=")</f>
        <v>#REF!</v>
      </c>
      <c r="GE38" s="1" t="e">
        <f>AND(#REF!,"AAAAAFMx/ro=")</f>
        <v>#REF!</v>
      </c>
      <c r="GF38" s="1" t="e">
        <f>AND(#REF!,"AAAAAFMx/rs=")</f>
        <v>#REF!</v>
      </c>
      <c r="GG38" s="1" t="e">
        <f>AND(#REF!,"AAAAAFMx/rw=")</f>
        <v>#REF!</v>
      </c>
      <c r="GH38" s="1" t="e">
        <f>AND(#REF!,"AAAAAFMx/r0=")</f>
        <v>#REF!</v>
      </c>
      <c r="GI38" s="1" t="e">
        <f>AND(#REF!,"AAAAAFMx/r4=")</f>
        <v>#REF!</v>
      </c>
      <c r="GJ38" s="1" t="e">
        <f>AND(#REF!,"AAAAAFMx/r8=")</f>
        <v>#REF!</v>
      </c>
      <c r="GK38" s="1" t="e">
        <f>AND(#REF!,"AAAAAFMx/sA=")</f>
        <v>#REF!</v>
      </c>
      <c r="GL38" s="1" t="e">
        <f>AND(#REF!,"AAAAAFMx/sE=")</f>
        <v>#REF!</v>
      </c>
      <c r="GM38" s="1" t="e">
        <f>AND(#REF!,"AAAAAFMx/sI=")</f>
        <v>#REF!</v>
      </c>
      <c r="GN38" s="1" t="e">
        <f>AND(#REF!,"AAAAAFMx/sM=")</f>
        <v>#REF!</v>
      </c>
      <c r="GO38" s="1" t="e">
        <f>AND(#REF!,"AAAAAFMx/sQ=")</f>
        <v>#REF!</v>
      </c>
      <c r="GP38" s="1" t="e">
        <f>AND(#REF!,"AAAAAFMx/sU=")</f>
        <v>#REF!</v>
      </c>
      <c r="GQ38" s="1" t="e">
        <f>AND(#REF!,"AAAAAFMx/sY=")</f>
        <v>#REF!</v>
      </c>
      <c r="GR38" s="1" t="e">
        <f>AND(#REF!,"AAAAAFMx/sc=")</f>
        <v>#REF!</v>
      </c>
      <c r="GS38" s="1" t="e">
        <f>AND(#REF!,"AAAAAFMx/sg=")</f>
        <v>#REF!</v>
      </c>
      <c r="GT38" s="1" t="e">
        <f>AND(#REF!,"AAAAAFMx/sk=")</f>
        <v>#REF!</v>
      </c>
      <c r="GU38" s="1" t="e">
        <f>AND(#REF!,"AAAAAFMx/so=")</f>
        <v>#REF!</v>
      </c>
      <c r="GV38" s="1" t="e">
        <f>AND(#REF!,"AAAAAFMx/ss=")</f>
        <v>#REF!</v>
      </c>
      <c r="GW38" s="1" t="e">
        <f>AND(#REF!,"AAAAAFMx/sw=")</f>
        <v>#REF!</v>
      </c>
      <c r="GX38" s="1" t="e">
        <f>AND(#REF!,"AAAAAFMx/s0=")</f>
        <v>#REF!</v>
      </c>
      <c r="GY38" s="1" t="e">
        <f>AND(#REF!,"AAAAAFMx/s4=")</f>
        <v>#REF!</v>
      </c>
      <c r="GZ38" s="1" t="e">
        <f>AND(#REF!,"AAAAAFMx/s8=")</f>
        <v>#REF!</v>
      </c>
      <c r="HA38" s="1" t="e">
        <f>AND(#REF!,"AAAAAFMx/tA=")</f>
        <v>#REF!</v>
      </c>
      <c r="HB38" s="1" t="e">
        <f>AND(#REF!,"AAAAAFMx/tE=")</f>
        <v>#REF!</v>
      </c>
      <c r="HC38" s="1" t="e">
        <f>AND(#REF!,"AAAAAFMx/tI=")</f>
        <v>#REF!</v>
      </c>
      <c r="HD38" s="1" t="e">
        <f>AND(#REF!,"AAAAAFMx/tM=")</f>
        <v>#REF!</v>
      </c>
      <c r="HE38" s="1" t="e">
        <f>AND(#REF!,"AAAAAFMx/tQ=")</f>
        <v>#REF!</v>
      </c>
      <c r="HF38" s="1" t="e">
        <f>AND(#REF!,"AAAAAFMx/tU=")</f>
        <v>#REF!</v>
      </c>
      <c r="HG38" s="1" t="e">
        <f>AND(#REF!,"AAAAAFMx/tY=")</f>
        <v>#REF!</v>
      </c>
      <c r="HH38" s="1" t="e">
        <f>AND(#REF!,"AAAAAFMx/tc=")</f>
        <v>#REF!</v>
      </c>
      <c r="HI38" s="1" t="e">
        <f>AND(#REF!,"AAAAAFMx/tg=")</f>
        <v>#REF!</v>
      </c>
      <c r="HJ38" s="1" t="e">
        <f>AND(#REF!,"AAAAAFMx/tk=")</f>
        <v>#REF!</v>
      </c>
      <c r="HK38" s="1" t="e">
        <f>AND(#REF!,"AAAAAFMx/to=")</f>
        <v>#REF!</v>
      </c>
      <c r="HL38" s="1" t="e">
        <f>AND(#REF!,"AAAAAFMx/ts=")</f>
        <v>#REF!</v>
      </c>
      <c r="HM38" s="1" t="e">
        <f>AND(#REF!,"AAAAAFMx/tw=")</f>
        <v>#REF!</v>
      </c>
      <c r="HN38" s="1" t="e">
        <f>AND(#REF!,"AAAAAFMx/t0=")</f>
        <v>#REF!</v>
      </c>
      <c r="HO38" s="1" t="e">
        <f>AND(#REF!,"AAAAAFMx/t4=")</f>
        <v>#REF!</v>
      </c>
      <c r="HP38" s="1" t="e">
        <f>AND(#REF!,"AAAAAFMx/t8=")</f>
        <v>#REF!</v>
      </c>
      <c r="HQ38" s="1" t="e">
        <f>AND(#REF!,"AAAAAFMx/uA=")</f>
        <v>#REF!</v>
      </c>
      <c r="HR38" s="1" t="e">
        <f>AND(#REF!,"AAAAAFMx/uE=")</f>
        <v>#REF!</v>
      </c>
      <c r="HS38" s="1" t="e">
        <f>AND(#REF!,"AAAAAFMx/uI=")</f>
        <v>#REF!</v>
      </c>
      <c r="HT38" s="1" t="e">
        <f>AND(#REF!,"AAAAAFMx/uM=")</f>
        <v>#REF!</v>
      </c>
      <c r="HU38" s="1" t="e">
        <f>AND(#REF!,"AAAAAFMx/uQ=")</f>
        <v>#REF!</v>
      </c>
      <c r="HV38" s="1" t="e">
        <f>AND(#REF!,"AAAAAFMx/uU=")</f>
        <v>#REF!</v>
      </c>
      <c r="HW38" s="1" t="e">
        <f>AND(#REF!,"AAAAAFMx/uY=")</f>
        <v>#REF!</v>
      </c>
      <c r="HX38" s="1" t="e">
        <f>AND(#REF!,"AAAAAFMx/uc=")</f>
        <v>#REF!</v>
      </c>
      <c r="HY38" s="1" t="e">
        <f>AND(#REF!,"AAAAAFMx/ug=")</f>
        <v>#REF!</v>
      </c>
      <c r="HZ38" s="1" t="e">
        <f>AND(#REF!,"AAAAAFMx/uk=")</f>
        <v>#REF!</v>
      </c>
      <c r="IA38" s="1" t="e">
        <f>AND(#REF!,"AAAAAFMx/uo=")</f>
        <v>#REF!</v>
      </c>
      <c r="IB38" s="1" t="e">
        <f>AND(#REF!,"AAAAAFMx/us=")</f>
        <v>#REF!</v>
      </c>
      <c r="IC38" s="1" t="e">
        <f>AND(#REF!,"AAAAAFMx/uw=")</f>
        <v>#REF!</v>
      </c>
      <c r="ID38" s="1" t="e">
        <f>AND(#REF!,"AAAAAFMx/u0=")</f>
        <v>#REF!</v>
      </c>
      <c r="IE38" s="1" t="e">
        <f>AND(#REF!,"AAAAAFMx/u4=")</f>
        <v>#REF!</v>
      </c>
      <c r="IF38" s="1" t="e">
        <f>AND(#REF!,"AAAAAFMx/u8=")</f>
        <v>#REF!</v>
      </c>
      <c r="IG38" s="1" t="e">
        <f>AND(#REF!,"AAAAAFMx/vA=")</f>
        <v>#REF!</v>
      </c>
      <c r="IH38" s="1" t="e">
        <f>AND(#REF!,"AAAAAFMx/vE=")</f>
        <v>#REF!</v>
      </c>
      <c r="II38" s="1" t="e">
        <f>AND(#REF!,"AAAAAFMx/vI=")</f>
        <v>#REF!</v>
      </c>
      <c r="IJ38" s="1" t="e">
        <f>AND(#REF!,"AAAAAFMx/vM=")</f>
        <v>#REF!</v>
      </c>
      <c r="IK38" s="1" t="e">
        <f>AND(#REF!,"AAAAAFMx/vQ=")</f>
        <v>#REF!</v>
      </c>
      <c r="IL38" s="1" t="e">
        <f>AND(#REF!,"AAAAAFMx/vU=")</f>
        <v>#REF!</v>
      </c>
      <c r="IM38" s="1" t="e">
        <f>AND(#REF!,"AAAAAFMx/vY=")</f>
        <v>#REF!</v>
      </c>
      <c r="IN38" s="1" t="e">
        <f>AND(#REF!,"AAAAAFMx/vc=")</f>
        <v>#REF!</v>
      </c>
      <c r="IO38" s="1" t="e">
        <f>AND(#REF!,"AAAAAFMx/vg=")</f>
        <v>#REF!</v>
      </c>
      <c r="IP38" s="1" t="e">
        <f>AND(#REF!,"AAAAAFMx/vk=")</f>
        <v>#REF!</v>
      </c>
      <c r="IQ38" s="1" t="e">
        <f>AND(#REF!,"AAAAAFMx/vo=")</f>
        <v>#REF!</v>
      </c>
      <c r="IR38" s="1" t="e">
        <f>AND(#REF!,"AAAAAFMx/vs=")</f>
        <v>#REF!</v>
      </c>
      <c r="IS38" s="1" t="e">
        <f>AND(#REF!,"AAAAAFMx/vw=")</f>
        <v>#REF!</v>
      </c>
      <c r="IT38" s="1" t="e">
        <f>AND(#REF!,"AAAAAFMx/v0=")</f>
        <v>#REF!</v>
      </c>
      <c r="IU38" s="1" t="e">
        <f>AND(#REF!,"AAAAAFMx/v4=")</f>
        <v>#REF!</v>
      </c>
      <c r="IV38" s="1" t="e">
        <f>AND(#REF!,"AAAAAFMx/v8=")</f>
        <v>#REF!</v>
      </c>
    </row>
    <row r="39" spans="1:256" ht="15" customHeight="1" x14ac:dyDescent="0.2">
      <c r="A39" s="1" t="e">
        <f>AND(#REF!,"AAAAAH+fLQA=")</f>
        <v>#REF!</v>
      </c>
      <c r="B39" s="1" t="e">
        <f>AND(#REF!,"AAAAAH+fLQE=")</f>
        <v>#REF!</v>
      </c>
      <c r="C39" s="1" t="e">
        <f>AND(#REF!,"AAAAAH+fLQI=")</f>
        <v>#REF!</v>
      </c>
      <c r="D39" s="1" t="e">
        <f>AND(#REF!,"AAAAAH+fLQM=")</f>
        <v>#REF!</v>
      </c>
      <c r="E39" s="1" t="e">
        <f>AND(#REF!,"AAAAAH+fLQQ=")</f>
        <v>#REF!</v>
      </c>
      <c r="F39" s="1" t="e">
        <f>AND(#REF!,"AAAAAH+fLQU=")</f>
        <v>#REF!</v>
      </c>
      <c r="G39" s="1" t="e">
        <f>AND(#REF!,"AAAAAH+fLQY=")</f>
        <v>#REF!</v>
      </c>
      <c r="H39" s="1" t="e">
        <f>AND(#REF!,"AAAAAH+fLQc=")</f>
        <v>#REF!</v>
      </c>
      <c r="I39" s="1" t="e">
        <f>IF(#REF!,"AAAAAH+fLQg=",0)</f>
        <v>#REF!</v>
      </c>
      <c r="J39" s="1" t="e">
        <f>AND(#REF!,"AAAAAH+fLQk=")</f>
        <v>#REF!</v>
      </c>
      <c r="K39" s="1" t="e">
        <f>AND(#REF!,"AAAAAH+fLQo=")</f>
        <v>#REF!</v>
      </c>
      <c r="L39" s="1" t="e">
        <f>AND(#REF!,"AAAAAH+fLQs=")</f>
        <v>#REF!</v>
      </c>
      <c r="M39" s="1" t="e">
        <f>AND(#REF!,"AAAAAH+fLQw=")</f>
        <v>#REF!</v>
      </c>
      <c r="N39" s="1" t="e">
        <f>AND(#REF!,"AAAAAH+fLQ0=")</f>
        <v>#REF!</v>
      </c>
      <c r="O39" s="1" t="e">
        <f>AND(#REF!,"AAAAAH+fLQ4=")</f>
        <v>#REF!</v>
      </c>
      <c r="P39" s="1" t="e">
        <f>AND(#REF!,"AAAAAH+fLQ8=")</f>
        <v>#REF!</v>
      </c>
      <c r="Q39" s="1" t="e">
        <f>AND(#REF!,"AAAAAH+fLRA=")</f>
        <v>#REF!</v>
      </c>
      <c r="R39" s="1" t="e">
        <f>AND(#REF!,"AAAAAH+fLRE=")</f>
        <v>#REF!</v>
      </c>
      <c r="S39" s="1" t="e">
        <f>AND(#REF!,"AAAAAH+fLRI=")</f>
        <v>#REF!</v>
      </c>
      <c r="T39" s="1" t="e">
        <f>AND(#REF!,"AAAAAH+fLRM=")</f>
        <v>#REF!</v>
      </c>
      <c r="U39" s="1" t="e">
        <f>AND(#REF!,"AAAAAH+fLRQ=")</f>
        <v>#REF!</v>
      </c>
      <c r="V39" s="1" t="e">
        <f>AND(#REF!,"AAAAAH+fLRU=")</f>
        <v>#REF!</v>
      </c>
      <c r="W39" s="1" t="e">
        <f>AND(#REF!,"AAAAAH+fLRY=")</f>
        <v>#REF!</v>
      </c>
      <c r="X39" s="1" t="e">
        <f>AND(#REF!,"AAAAAH+fLRc=")</f>
        <v>#REF!</v>
      </c>
      <c r="Y39" s="1" t="e">
        <f>AND(#REF!,"AAAAAH+fLRg=")</f>
        <v>#REF!</v>
      </c>
      <c r="Z39" s="1" t="e">
        <f>AND(#REF!,"AAAAAH+fLRk=")</f>
        <v>#REF!</v>
      </c>
      <c r="AA39" s="1" t="e">
        <f>AND(#REF!,"AAAAAH+fLRo=")</f>
        <v>#REF!</v>
      </c>
      <c r="AB39" s="1" t="e">
        <f>AND(#REF!,"AAAAAH+fLRs=")</f>
        <v>#REF!</v>
      </c>
      <c r="AC39" s="1" t="e">
        <f>AND(#REF!,"AAAAAH+fLRw=")</f>
        <v>#REF!</v>
      </c>
      <c r="AD39" s="1" t="e">
        <f>AND(#REF!,"AAAAAH+fLR0=")</f>
        <v>#REF!</v>
      </c>
      <c r="AE39" s="1" t="e">
        <f>AND(#REF!,"AAAAAH+fLR4=")</f>
        <v>#REF!</v>
      </c>
      <c r="AF39" s="1" t="e">
        <f>AND(#REF!,"AAAAAH+fLR8=")</f>
        <v>#REF!</v>
      </c>
      <c r="AG39" s="1" t="e">
        <f>AND(#REF!,"AAAAAH+fLSA=")</f>
        <v>#REF!</v>
      </c>
      <c r="AH39" s="1" t="e">
        <f>AND(#REF!,"AAAAAH+fLSE=")</f>
        <v>#REF!</v>
      </c>
      <c r="AI39" s="1" t="e">
        <f>AND(#REF!,"AAAAAH+fLSI=")</f>
        <v>#REF!</v>
      </c>
      <c r="AJ39" s="1" t="e">
        <f>AND(#REF!,"AAAAAH+fLSM=")</f>
        <v>#REF!</v>
      </c>
      <c r="AK39" s="1" t="e">
        <f>AND(#REF!,"AAAAAH+fLSQ=")</f>
        <v>#REF!</v>
      </c>
      <c r="AL39" s="1" t="e">
        <f>AND(#REF!,"AAAAAH+fLSU=")</f>
        <v>#REF!</v>
      </c>
      <c r="AM39" s="1" t="e">
        <f>AND(#REF!,"AAAAAH+fLSY=")</f>
        <v>#REF!</v>
      </c>
      <c r="AN39" s="1" t="e">
        <f>AND(#REF!,"AAAAAH+fLSc=")</f>
        <v>#REF!</v>
      </c>
      <c r="AO39" s="1" t="e">
        <f>AND(#REF!,"AAAAAH+fLSg=")</f>
        <v>#REF!</v>
      </c>
      <c r="AP39" s="1" t="e">
        <f>AND(#REF!,"AAAAAH+fLSk=")</f>
        <v>#REF!</v>
      </c>
      <c r="AQ39" s="1" t="e">
        <f>AND(#REF!,"AAAAAH+fLSo=")</f>
        <v>#REF!</v>
      </c>
      <c r="AR39" s="1" t="e">
        <f>AND(#REF!,"AAAAAH+fLSs=")</f>
        <v>#REF!</v>
      </c>
      <c r="AS39" s="1" t="e">
        <f>AND(#REF!,"AAAAAH+fLSw=")</f>
        <v>#REF!</v>
      </c>
      <c r="AT39" s="1" t="e">
        <f>AND(#REF!,"AAAAAH+fLS0=")</f>
        <v>#REF!</v>
      </c>
      <c r="AU39" s="1" t="e">
        <f>AND(#REF!,"AAAAAH+fLS4=")</f>
        <v>#REF!</v>
      </c>
      <c r="AV39" s="1" t="e">
        <f>AND(#REF!,"AAAAAH+fLS8=")</f>
        <v>#REF!</v>
      </c>
      <c r="AW39" s="1" t="e">
        <f>AND(#REF!,"AAAAAH+fLTA=")</f>
        <v>#REF!</v>
      </c>
      <c r="AX39" s="1" t="e">
        <f>AND(#REF!,"AAAAAH+fLTE=")</f>
        <v>#REF!</v>
      </c>
      <c r="AY39" s="1" t="e">
        <f>AND(#REF!,"AAAAAH+fLTI=")</f>
        <v>#REF!</v>
      </c>
      <c r="AZ39" s="1" t="e">
        <f>AND(#REF!,"AAAAAH+fLTM=")</f>
        <v>#REF!</v>
      </c>
      <c r="BA39" s="1" t="e">
        <f>AND(#REF!,"AAAAAH+fLTQ=")</f>
        <v>#REF!</v>
      </c>
      <c r="BB39" s="1" t="e">
        <f>AND(#REF!,"AAAAAH+fLTU=")</f>
        <v>#REF!</v>
      </c>
      <c r="BC39" s="1" t="e">
        <f>AND(#REF!,"AAAAAH+fLTY=")</f>
        <v>#REF!</v>
      </c>
      <c r="BD39" s="1" t="e">
        <f>AND(#REF!,"AAAAAH+fLTc=")</f>
        <v>#REF!</v>
      </c>
      <c r="BE39" s="1" t="e">
        <f>AND(#REF!,"AAAAAH+fLTg=")</f>
        <v>#REF!</v>
      </c>
      <c r="BF39" s="1" t="e">
        <f>AND(#REF!,"AAAAAH+fLTk=")</f>
        <v>#REF!</v>
      </c>
      <c r="BG39" s="1" t="e">
        <f>AND(#REF!,"AAAAAH+fLTo=")</f>
        <v>#REF!</v>
      </c>
      <c r="BH39" s="1" t="e">
        <f>AND(#REF!,"AAAAAH+fLTs=")</f>
        <v>#REF!</v>
      </c>
      <c r="BI39" s="1" t="e">
        <f>AND(#REF!,"AAAAAH+fLTw=")</f>
        <v>#REF!</v>
      </c>
      <c r="BJ39" s="1" t="e">
        <f>AND(#REF!,"AAAAAH+fLT0=")</f>
        <v>#REF!</v>
      </c>
      <c r="BK39" s="1" t="e">
        <f>AND(#REF!,"AAAAAH+fLT4=")</f>
        <v>#REF!</v>
      </c>
      <c r="BL39" s="1" t="e">
        <f>AND(#REF!,"AAAAAH+fLT8=")</f>
        <v>#REF!</v>
      </c>
      <c r="BM39" s="1" t="e">
        <f>AND(#REF!,"AAAAAH+fLUA=")</f>
        <v>#REF!</v>
      </c>
      <c r="BN39" s="1" t="e">
        <f>AND(#REF!,"AAAAAH+fLUE=")</f>
        <v>#REF!</v>
      </c>
      <c r="BO39" s="1" t="e">
        <f>AND(#REF!,"AAAAAH+fLUI=")</f>
        <v>#REF!</v>
      </c>
      <c r="BP39" s="1" t="e">
        <f>AND(#REF!,"AAAAAH+fLUM=")</f>
        <v>#REF!</v>
      </c>
      <c r="BQ39" s="1" t="e">
        <f>AND(#REF!,"AAAAAH+fLUQ=")</f>
        <v>#REF!</v>
      </c>
      <c r="BR39" s="1" t="e">
        <f>AND(#REF!,"AAAAAH+fLUU=")</f>
        <v>#REF!</v>
      </c>
      <c r="BS39" s="1" t="e">
        <f>AND(#REF!,"AAAAAH+fLUY=")</f>
        <v>#REF!</v>
      </c>
      <c r="BT39" s="1" t="e">
        <f>AND(#REF!,"AAAAAH+fLUc=")</f>
        <v>#REF!</v>
      </c>
      <c r="BU39" s="1" t="e">
        <f>AND(#REF!,"AAAAAH+fLUg=")</f>
        <v>#REF!</v>
      </c>
      <c r="BV39" s="1" t="e">
        <f>AND(#REF!,"AAAAAH+fLUk=")</f>
        <v>#REF!</v>
      </c>
      <c r="BW39" s="1" t="e">
        <f>AND(#REF!,"AAAAAH+fLUo=")</f>
        <v>#REF!</v>
      </c>
      <c r="BX39" s="1" t="e">
        <f>AND(#REF!,"AAAAAH+fLUs=")</f>
        <v>#REF!</v>
      </c>
      <c r="BY39" s="1" t="e">
        <f>AND(#REF!,"AAAAAH+fLUw=")</f>
        <v>#REF!</v>
      </c>
      <c r="BZ39" s="1" t="e">
        <f>AND(#REF!,"AAAAAH+fLU0=")</f>
        <v>#REF!</v>
      </c>
      <c r="CA39" s="1" t="e">
        <f>AND(#REF!,"AAAAAH+fLU4=")</f>
        <v>#REF!</v>
      </c>
      <c r="CB39" s="1" t="e">
        <f>AND(#REF!,"AAAAAH+fLU8=")</f>
        <v>#REF!</v>
      </c>
      <c r="CC39" s="1" t="e">
        <f>AND(#REF!,"AAAAAH+fLVA=")</f>
        <v>#REF!</v>
      </c>
      <c r="CD39" s="1" t="e">
        <f>AND(#REF!,"AAAAAH+fLVE=")</f>
        <v>#REF!</v>
      </c>
      <c r="CE39" s="1" t="e">
        <f>AND(#REF!,"AAAAAH+fLVI=")</f>
        <v>#REF!</v>
      </c>
      <c r="CF39" s="1" t="e">
        <f>AND(#REF!,"AAAAAH+fLVM=")</f>
        <v>#REF!</v>
      </c>
      <c r="CG39" s="1" t="e">
        <f>AND(#REF!,"AAAAAH+fLVQ=")</f>
        <v>#REF!</v>
      </c>
      <c r="CH39" s="1" t="e">
        <f>AND(#REF!,"AAAAAH+fLVU=")</f>
        <v>#REF!</v>
      </c>
      <c r="CI39" s="1" t="e">
        <f>AND(#REF!,"AAAAAH+fLVY=")</f>
        <v>#REF!</v>
      </c>
      <c r="CJ39" s="1" t="e">
        <f>AND(#REF!,"AAAAAH+fLVc=")</f>
        <v>#REF!</v>
      </c>
      <c r="CK39" s="1" t="e">
        <f>AND(#REF!,"AAAAAH+fLVg=")</f>
        <v>#REF!</v>
      </c>
      <c r="CL39" s="1" t="e">
        <f>AND(#REF!,"AAAAAH+fLVk=")</f>
        <v>#REF!</v>
      </c>
      <c r="CM39" s="1" t="e">
        <f>AND(#REF!,"AAAAAH+fLVo=")</f>
        <v>#REF!</v>
      </c>
      <c r="CN39" s="1" t="e">
        <f>AND(#REF!,"AAAAAH+fLVs=")</f>
        <v>#REF!</v>
      </c>
      <c r="CO39" s="1" t="e">
        <f>AND(#REF!,"AAAAAH+fLVw=")</f>
        <v>#REF!</v>
      </c>
      <c r="CP39" s="1" t="e">
        <f>AND(#REF!,"AAAAAH+fLV0=")</f>
        <v>#REF!</v>
      </c>
      <c r="CQ39" s="1" t="e">
        <f>AND(#REF!,"AAAAAH+fLV4=")</f>
        <v>#REF!</v>
      </c>
      <c r="CR39" s="1" t="e">
        <f>AND(#REF!,"AAAAAH+fLV8=")</f>
        <v>#REF!</v>
      </c>
      <c r="CS39" s="1" t="e">
        <f>AND(#REF!,"AAAAAH+fLWA=")</f>
        <v>#REF!</v>
      </c>
      <c r="CT39" s="1" t="e">
        <f>AND(#REF!,"AAAAAH+fLWE=")</f>
        <v>#REF!</v>
      </c>
      <c r="CU39" s="1" t="e">
        <f>AND(#REF!,"AAAAAH+fLWI=")</f>
        <v>#REF!</v>
      </c>
      <c r="CV39" s="1" t="e">
        <f>AND(#REF!,"AAAAAH+fLWM=")</f>
        <v>#REF!</v>
      </c>
      <c r="CW39" s="1" t="e">
        <f>AND(#REF!,"AAAAAH+fLWQ=")</f>
        <v>#REF!</v>
      </c>
      <c r="CX39" s="1" t="e">
        <f>AND(#REF!,"AAAAAH+fLWU=")</f>
        <v>#REF!</v>
      </c>
      <c r="CY39" s="1" t="e">
        <f>AND(#REF!,"AAAAAH+fLWY=")</f>
        <v>#REF!</v>
      </c>
      <c r="CZ39" s="1" t="e">
        <f>AND(#REF!,"AAAAAH+fLWc=")</f>
        <v>#REF!</v>
      </c>
      <c r="DA39" s="1" t="e">
        <f>AND(#REF!,"AAAAAH+fLWg=")</f>
        <v>#REF!</v>
      </c>
      <c r="DB39" s="1" t="e">
        <f>AND(#REF!,"AAAAAH+fLWk=")</f>
        <v>#REF!</v>
      </c>
      <c r="DC39" s="1" t="e">
        <f>AND(#REF!,"AAAAAH+fLWo=")</f>
        <v>#REF!</v>
      </c>
      <c r="DD39" s="1" t="e">
        <f>AND(#REF!,"AAAAAH+fLWs=")</f>
        <v>#REF!</v>
      </c>
      <c r="DE39" s="1" t="e">
        <f>AND(#REF!,"AAAAAH+fLWw=")</f>
        <v>#REF!</v>
      </c>
      <c r="DF39" s="1" t="e">
        <f>AND(#REF!,"AAAAAH+fLW0=")</f>
        <v>#REF!</v>
      </c>
      <c r="DG39" s="1" t="e">
        <f>AND(#REF!,"AAAAAH+fLW4=")</f>
        <v>#REF!</v>
      </c>
      <c r="DH39" s="1" t="e">
        <f>IF(#REF!,"AAAAAH+fLW8=",0)</f>
        <v>#REF!</v>
      </c>
      <c r="DI39" s="1" t="e">
        <f>AND(#REF!,"AAAAAH+fLXA=")</f>
        <v>#REF!</v>
      </c>
      <c r="DJ39" s="1" t="e">
        <f>AND(#REF!,"AAAAAH+fLXE=")</f>
        <v>#REF!</v>
      </c>
      <c r="DK39" s="1" t="e">
        <f>AND(#REF!,"AAAAAH+fLXI=")</f>
        <v>#REF!</v>
      </c>
      <c r="DL39" s="1" t="e">
        <f>AND(#REF!,"AAAAAH+fLXM=")</f>
        <v>#REF!</v>
      </c>
      <c r="DM39" s="1" t="e">
        <f>AND(#REF!,"AAAAAH+fLXQ=")</f>
        <v>#REF!</v>
      </c>
      <c r="DN39" s="1" t="e">
        <f>AND(#REF!,"AAAAAH+fLXU=")</f>
        <v>#REF!</v>
      </c>
      <c r="DO39" s="1" t="e">
        <f>AND(#REF!,"AAAAAH+fLXY=")</f>
        <v>#REF!</v>
      </c>
      <c r="DP39" s="1" t="e">
        <f>AND(#REF!,"AAAAAH+fLXc=")</f>
        <v>#REF!</v>
      </c>
      <c r="DQ39" s="1" t="e">
        <f>AND(#REF!,"AAAAAH+fLXg=")</f>
        <v>#REF!</v>
      </c>
      <c r="DR39" s="1" t="e">
        <f>AND(#REF!,"AAAAAH+fLXk=")</f>
        <v>#REF!</v>
      </c>
      <c r="DS39" s="1" t="e">
        <f>AND(#REF!,"AAAAAH+fLXo=")</f>
        <v>#REF!</v>
      </c>
      <c r="DT39" s="1" t="e">
        <f>AND(#REF!,"AAAAAH+fLXs=")</f>
        <v>#REF!</v>
      </c>
      <c r="DU39" s="1" t="e">
        <f>AND(#REF!,"AAAAAH+fLXw=")</f>
        <v>#REF!</v>
      </c>
      <c r="DV39" s="1" t="e">
        <f>AND(#REF!,"AAAAAH+fLX0=")</f>
        <v>#REF!</v>
      </c>
      <c r="DW39" s="1" t="e">
        <f>AND(#REF!,"AAAAAH+fLX4=")</f>
        <v>#REF!</v>
      </c>
      <c r="DX39" s="1" t="e">
        <f>AND(#REF!,"AAAAAH+fLX8=")</f>
        <v>#REF!</v>
      </c>
      <c r="DY39" s="1" t="e">
        <f>AND(#REF!,"AAAAAH+fLYA=")</f>
        <v>#REF!</v>
      </c>
      <c r="DZ39" s="1" t="e">
        <f>AND(#REF!,"AAAAAH+fLYE=")</f>
        <v>#REF!</v>
      </c>
      <c r="EA39" s="1" t="e">
        <f>AND(#REF!,"AAAAAH+fLYI=")</f>
        <v>#REF!</v>
      </c>
      <c r="EB39" s="1" t="e">
        <f>AND(#REF!,"AAAAAH+fLYM=")</f>
        <v>#REF!</v>
      </c>
      <c r="EC39" s="1" t="e">
        <f>AND(#REF!,"AAAAAH+fLYQ=")</f>
        <v>#REF!</v>
      </c>
      <c r="ED39" s="1" t="e">
        <f>AND(#REF!,"AAAAAH+fLYU=")</f>
        <v>#REF!</v>
      </c>
      <c r="EE39" s="1" t="e">
        <f>AND(#REF!,"AAAAAH+fLYY=")</f>
        <v>#REF!</v>
      </c>
      <c r="EF39" s="1" t="e">
        <f>AND(#REF!,"AAAAAH+fLYc=")</f>
        <v>#REF!</v>
      </c>
      <c r="EG39" s="1" t="e">
        <f>AND(#REF!,"AAAAAH+fLYg=")</f>
        <v>#REF!</v>
      </c>
      <c r="EH39" s="1" t="e">
        <f>AND(#REF!,"AAAAAH+fLYk=")</f>
        <v>#REF!</v>
      </c>
      <c r="EI39" s="1" t="e">
        <f>AND(#REF!,"AAAAAH+fLYo=")</f>
        <v>#REF!</v>
      </c>
      <c r="EJ39" s="1" t="e">
        <f>AND(#REF!,"AAAAAH+fLYs=")</f>
        <v>#REF!</v>
      </c>
      <c r="EK39" s="1" t="e">
        <f>AND(#REF!,"AAAAAH+fLYw=")</f>
        <v>#REF!</v>
      </c>
      <c r="EL39" s="1" t="e">
        <f>AND(#REF!,"AAAAAH+fLY0=")</f>
        <v>#REF!</v>
      </c>
      <c r="EM39" s="1" t="e">
        <f>AND(#REF!,"AAAAAH+fLY4=")</f>
        <v>#REF!</v>
      </c>
      <c r="EN39" s="1" t="e">
        <f>AND(#REF!,"AAAAAH+fLY8=")</f>
        <v>#REF!</v>
      </c>
      <c r="EO39" s="1" t="e">
        <f>AND(#REF!,"AAAAAH+fLZA=")</f>
        <v>#REF!</v>
      </c>
      <c r="EP39" s="1" t="e">
        <f>AND(#REF!,"AAAAAH+fLZE=")</f>
        <v>#REF!</v>
      </c>
      <c r="EQ39" s="1" t="e">
        <f>AND(#REF!,"AAAAAH+fLZI=")</f>
        <v>#REF!</v>
      </c>
      <c r="ER39" s="1" t="e">
        <f>AND(#REF!,"AAAAAH+fLZM=")</f>
        <v>#REF!</v>
      </c>
      <c r="ES39" s="1" t="e">
        <f>AND(#REF!,"AAAAAH+fLZQ=")</f>
        <v>#REF!</v>
      </c>
      <c r="ET39" s="1" t="e">
        <f>AND(#REF!,"AAAAAH+fLZU=")</f>
        <v>#REF!</v>
      </c>
      <c r="EU39" s="1" t="e">
        <f>AND(#REF!,"AAAAAH+fLZY=")</f>
        <v>#REF!</v>
      </c>
      <c r="EV39" s="1" t="e">
        <f>AND(#REF!,"AAAAAH+fLZc=")</f>
        <v>#REF!</v>
      </c>
      <c r="EW39" s="1" t="e">
        <f>AND(#REF!,"AAAAAH+fLZg=")</f>
        <v>#REF!</v>
      </c>
      <c r="EX39" s="1" t="e">
        <f>AND(#REF!,"AAAAAH+fLZk=")</f>
        <v>#REF!</v>
      </c>
      <c r="EY39" s="1" t="e">
        <f>AND(#REF!,"AAAAAH+fLZo=")</f>
        <v>#REF!</v>
      </c>
      <c r="EZ39" s="1" t="e">
        <f>AND(#REF!,"AAAAAH+fLZs=")</f>
        <v>#REF!</v>
      </c>
      <c r="FA39" s="1" t="e">
        <f>AND(#REF!,"AAAAAH+fLZw=")</f>
        <v>#REF!</v>
      </c>
      <c r="FB39" s="1" t="e">
        <f>AND(#REF!,"AAAAAH+fLZ0=")</f>
        <v>#REF!</v>
      </c>
      <c r="FC39" s="1" t="e">
        <f>AND(#REF!,"AAAAAH+fLZ4=")</f>
        <v>#REF!</v>
      </c>
      <c r="FD39" s="1" t="e">
        <f>AND(#REF!,"AAAAAH+fLZ8=")</f>
        <v>#REF!</v>
      </c>
      <c r="FE39" s="1" t="e">
        <f>AND(#REF!,"AAAAAH+fLaA=")</f>
        <v>#REF!</v>
      </c>
      <c r="FF39" s="1" t="e">
        <f>AND(#REF!,"AAAAAH+fLaE=")</f>
        <v>#REF!</v>
      </c>
      <c r="FG39" s="1" t="e">
        <f>AND(#REF!,"AAAAAH+fLaI=")</f>
        <v>#REF!</v>
      </c>
      <c r="FH39" s="1" t="e">
        <f>AND(#REF!,"AAAAAH+fLaM=")</f>
        <v>#REF!</v>
      </c>
      <c r="FI39" s="1" t="e">
        <f>AND(#REF!,"AAAAAH+fLaQ=")</f>
        <v>#REF!</v>
      </c>
      <c r="FJ39" s="1" t="e">
        <f>AND(#REF!,"AAAAAH+fLaU=")</f>
        <v>#REF!</v>
      </c>
      <c r="FK39" s="1" t="e">
        <f>AND(#REF!,"AAAAAH+fLaY=")</f>
        <v>#REF!</v>
      </c>
      <c r="FL39" s="1" t="e">
        <f>AND(#REF!,"AAAAAH+fLac=")</f>
        <v>#REF!</v>
      </c>
      <c r="FM39" s="1" t="e">
        <f>AND(#REF!,"AAAAAH+fLag=")</f>
        <v>#REF!</v>
      </c>
      <c r="FN39" s="1" t="e">
        <f>AND(#REF!,"AAAAAH+fLak=")</f>
        <v>#REF!</v>
      </c>
      <c r="FO39" s="1" t="e">
        <f>AND(#REF!,"AAAAAH+fLao=")</f>
        <v>#REF!</v>
      </c>
      <c r="FP39" s="1" t="e">
        <f>AND(#REF!,"AAAAAH+fLas=")</f>
        <v>#REF!</v>
      </c>
      <c r="FQ39" s="1" t="e">
        <f>AND(#REF!,"AAAAAH+fLaw=")</f>
        <v>#REF!</v>
      </c>
      <c r="FR39" s="1" t="e">
        <f>AND(#REF!,"AAAAAH+fLa0=")</f>
        <v>#REF!</v>
      </c>
      <c r="FS39" s="1" t="e">
        <f>AND(#REF!,"AAAAAH+fLa4=")</f>
        <v>#REF!</v>
      </c>
      <c r="FT39" s="1" t="e">
        <f>AND(#REF!,"AAAAAH+fLa8=")</f>
        <v>#REF!</v>
      </c>
      <c r="FU39" s="1" t="e">
        <f>AND(#REF!,"AAAAAH+fLbA=")</f>
        <v>#REF!</v>
      </c>
      <c r="FV39" s="1" t="e">
        <f>AND(#REF!,"AAAAAH+fLbE=")</f>
        <v>#REF!</v>
      </c>
      <c r="FW39" s="1" t="e">
        <f>AND(#REF!,"AAAAAH+fLbI=")</f>
        <v>#REF!</v>
      </c>
      <c r="FX39" s="1" t="e">
        <f>AND(#REF!,"AAAAAH+fLbM=")</f>
        <v>#REF!</v>
      </c>
      <c r="FY39" s="1" t="e">
        <f>AND(#REF!,"AAAAAH+fLbQ=")</f>
        <v>#REF!</v>
      </c>
      <c r="FZ39" s="1" t="e">
        <f>AND(#REF!,"AAAAAH+fLbU=")</f>
        <v>#REF!</v>
      </c>
      <c r="GA39" s="1" t="e">
        <f>AND(#REF!,"AAAAAH+fLbY=")</f>
        <v>#REF!</v>
      </c>
      <c r="GB39" s="1" t="e">
        <f>AND(#REF!,"AAAAAH+fLbc=")</f>
        <v>#REF!</v>
      </c>
      <c r="GC39" s="1" t="e">
        <f>AND(#REF!,"AAAAAH+fLbg=")</f>
        <v>#REF!</v>
      </c>
      <c r="GD39" s="1" t="e">
        <f>AND(#REF!,"AAAAAH+fLbk=")</f>
        <v>#REF!</v>
      </c>
      <c r="GE39" s="1" t="e">
        <f>AND(#REF!,"AAAAAH+fLbo=")</f>
        <v>#REF!</v>
      </c>
      <c r="GF39" s="1" t="e">
        <f>AND(#REF!,"AAAAAH+fLbs=")</f>
        <v>#REF!</v>
      </c>
      <c r="GG39" s="1" t="e">
        <f>AND(#REF!,"AAAAAH+fLbw=")</f>
        <v>#REF!</v>
      </c>
      <c r="GH39" s="1" t="e">
        <f>AND(#REF!,"AAAAAH+fLb0=")</f>
        <v>#REF!</v>
      </c>
      <c r="GI39" s="1" t="e">
        <f>AND(#REF!,"AAAAAH+fLb4=")</f>
        <v>#REF!</v>
      </c>
      <c r="GJ39" s="1" t="e">
        <f>AND(#REF!,"AAAAAH+fLb8=")</f>
        <v>#REF!</v>
      </c>
      <c r="GK39" s="1" t="e">
        <f>AND(#REF!,"AAAAAH+fLcA=")</f>
        <v>#REF!</v>
      </c>
      <c r="GL39" s="1" t="e">
        <f>AND(#REF!,"AAAAAH+fLcE=")</f>
        <v>#REF!</v>
      </c>
      <c r="GM39" s="1" t="e">
        <f>AND(#REF!,"AAAAAH+fLcI=")</f>
        <v>#REF!</v>
      </c>
      <c r="GN39" s="1" t="e">
        <f>AND(#REF!,"AAAAAH+fLcM=")</f>
        <v>#REF!</v>
      </c>
      <c r="GO39" s="1" t="e">
        <f>AND(#REF!,"AAAAAH+fLcQ=")</f>
        <v>#REF!</v>
      </c>
      <c r="GP39" s="1" t="e">
        <f>AND(#REF!,"AAAAAH+fLcU=")</f>
        <v>#REF!</v>
      </c>
      <c r="GQ39" s="1" t="e">
        <f>AND(#REF!,"AAAAAH+fLcY=")</f>
        <v>#REF!</v>
      </c>
      <c r="GR39" s="1" t="e">
        <f>AND(#REF!,"AAAAAH+fLcc=")</f>
        <v>#REF!</v>
      </c>
      <c r="GS39" s="1" t="e">
        <f>AND(#REF!,"AAAAAH+fLcg=")</f>
        <v>#REF!</v>
      </c>
      <c r="GT39" s="1" t="e">
        <f>AND(#REF!,"AAAAAH+fLck=")</f>
        <v>#REF!</v>
      </c>
      <c r="GU39" s="1" t="e">
        <f>AND(#REF!,"AAAAAH+fLco=")</f>
        <v>#REF!</v>
      </c>
      <c r="GV39" s="1" t="e">
        <f>AND(#REF!,"AAAAAH+fLcs=")</f>
        <v>#REF!</v>
      </c>
      <c r="GW39" s="1" t="e">
        <f>AND(#REF!,"AAAAAH+fLcw=")</f>
        <v>#REF!</v>
      </c>
      <c r="GX39" s="1" t="e">
        <f>AND(#REF!,"AAAAAH+fLc0=")</f>
        <v>#REF!</v>
      </c>
      <c r="GY39" s="1" t="e">
        <f>AND(#REF!,"AAAAAH+fLc4=")</f>
        <v>#REF!</v>
      </c>
      <c r="GZ39" s="1" t="e">
        <f>AND(#REF!,"AAAAAH+fLc8=")</f>
        <v>#REF!</v>
      </c>
      <c r="HA39" s="1" t="e">
        <f>AND(#REF!,"AAAAAH+fLdA=")</f>
        <v>#REF!</v>
      </c>
      <c r="HB39" s="1" t="e">
        <f>AND(#REF!,"AAAAAH+fLdE=")</f>
        <v>#REF!</v>
      </c>
      <c r="HC39" s="1" t="e">
        <f>AND(#REF!,"AAAAAH+fLdI=")</f>
        <v>#REF!</v>
      </c>
      <c r="HD39" s="1" t="e">
        <f>AND(#REF!,"AAAAAH+fLdM=")</f>
        <v>#REF!</v>
      </c>
      <c r="HE39" s="1" t="e">
        <f>AND(#REF!,"AAAAAH+fLdQ=")</f>
        <v>#REF!</v>
      </c>
      <c r="HF39" s="1" t="e">
        <f>AND(#REF!,"AAAAAH+fLdU=")</f>
        <v>#REF!</v>
      </c>
      <c r="HG39" s="1" t="e">
        <f>IF(#REF!,"AAAAAH+fLdY=",0)</f>
        <v>#REF!</v>
      </c>
      <c r="HH39" s="1" t="e">
        <f>AND(#REF!,"AAAAAH+fLdc=")</f>
        <v>#REF!</v>
      </c>
      <c r="HI39" s="1" t="e">
        <f>AND(#REF!,"AAAAAH+fLdg=")</f>
        <v>#REF!</v>
      </c>
      <c r="HJ39" s="1" t="e">
        <f>AND(#REF!,"AAAAAH+fLdk=")</f>
        <v>#REF!</v>
      </c>
      <c r="HK39" s="1" t="e">
        <f>AND(#REF!,"AAAAAH+fLdo=")</f>
        <v>#REF!</v>
      </c>
      <c r="HL39" s="1" t="e">
        <f>AND(#REF!,"AAAAAH+fLds=")</f>
        <v>#REF!</v>
      </c>
      <c r="HM39" s="1" t="e">
        <f>AND(#REF!,"AAAAAH+fLdw=")</f>
        <v>#REF!</v>
      </c>
      <c r="HN39" s="1" t="e">
        <f>AND(#REF!,"AAAAAH+fLd0=")</f>
        <v>#REF!</v>
      </c>
      <c r="HO39" s="1" t="e">
        <f>AND(#REF!,"AAAAAH+fLd4=")</f>
        <v>#REF!</v>
      </c>
      <c r="HP39" s="1" t="e">
        <f>AND(#REF!,"AAAAAH+fLd8=")</f>
        <v>#REF!</v>
      </c>
      <c r="HQ39" s="1" t="e">
        <f>AND(#REF!,"AAAAAH+fLeA=")</f>
        <v>#REF!</v>
      </c>
      <c r="HR39" s="1" t="e">
        <f>AND(#REF!,"AAAAAH+fLeE=")</f>
        <v>#REF!</v>
      </c>
      <c r="HS39" s="1" t="e">
        <f>AND(#REF!,"AAAAAH+fLeI=")</f>
        <v>#REF!</v>
      </c>
      <c r="HT39" s="1" t="e">
        <f>AND(#REF!,"AAAAAH+fLeM=")</f>
        <v>#REF!</v>
      </c>
      <c r="HU39" s="1" t="e">
        <f>AND(#REF!,"AAAAAH+fLeQ=")</f>
        <v>#REF!</v>
      </c>
      <c r="HV39" s="1" t="e">
        <f>AND(#REF!,"AAAAAH+fLeU=")</f>
        <v>#REF!</v>
      </c>
      <c r="HW39" s="1" t="e">
        <f>AND(#REF!,"AAAAAH+fLeY=")</f>
        <v>#REF!</v>
      </c>
      <c r="HX39" s="1" t="e">
        <f>AND(#REF!,"AAAAAH+fLec=")</f>
        <v>#REF!</v>
      </c>
      <c r="HY39" s="1" t="e">
        <f>AND(#REF!,"AAAAAH+fLeg=")</f>
        <v>#REF!</v>
      </c>
      <c r="HZ39" s="1" t="e">
        <f>AND(#REF!,"AAAAAH+fLek=")</f>
        <v>#REF!</v>
      </c>
      <c r="IA39" s="1" t="e">
        <f>AND(#REF!,"AAAAAH+fLeo=")</f>
        <v>#REF!</v>
      </c>
      <c r="IB39" s="1" t="e">
        <f>AND(#REF!,"AAAAAH+fLes=")</f>
        <v>#REF!</v>
      </c>
      <c r="IC39" s="1" t="e">
        <f>AND(#REF!,"AAAAAH+fLew=")</f>
        <v>#REF!</v>
      </c>
      <c r="ID39" s="1" t="e">
        <f>AND(#REF!,"AAAAAH+fLe0=")</f>
        <v>#REF!</v>
      </c>
      <c r="IE39" s="1" t="e">
        <f>AND(#REF!,"AAAAAH+fLe4=")</f>
        <v>#REF!</v>
      </c>
      <c r="IF39" s="1" t="e">
        <f>AND(#REF!,"AAAAAH+fLe8=")</f>
        <v>#REF!</v>
      </c>
      <c r="IG39" s="1" t="e">
        <f>AND(#REF!,"AAAAAH+fLfA=")</f>
        <v>#REF!</v>
      </c>
      <c r="IH39" s="1" t="e">
        <f>AND(#REF!,"AAAAAH+fLfE=")</f>
        <v>#REF!</v>
      </c>
      <c r="II39" s="1" t="e">
        <f>AND(#REF!,"AAAAAH+fLfI=")</f>
        <v>#REF!</v>
      </c>
      <c r="IJ39" s="1" t="e">
        <f>AND(#REF!,"AAAAAH+fLfM=")</f>
        <v>#REF!</v>
      </c>
      <c r="IK39" s="1" t="e">
        <f>AND(#REF!,"AAAAAH+fLfQ=")</f>
        <v>#REF!</v>
      </c>
      <c r="IL39" s="1" t="e">
        <f>AND(#REF!,"AAAAAH+fLfU=")</f>
        <v>#REF!</v>
      </c>
      <c r="IM39" s="1" t="e">
        <f>AND(#REF!,"AAAAAH+fLfY=")</f>
        <v>#REF!</v>
      </c>
      <c r="IN39" s="1" t="e">
        <f>AND(#REF!,"AAAAAH+fLfc=")</f>
        <v>#REF!</v>
      </c>
      <c r="IO39" s="1" t="e">
        <f>AND(#REF!,"AAAAAH+fLfg=")</f>
        <v>#REF!</v>
      </c>
      <c r="IP39" s="1" t="e">
        <f>AND(#REF!,"AAAAAH+fLfk=")</f>
        <v>#REF!</v>
      </c>
      <c r="IQ39" s="1" t="e">
        <f>AND(#REF!,"AAAAAH+fLfo=")</f>
        <v>#REF!</v>
      </c>
      <c r="IR39" s="1" t="e">
        <f>AND(#REF!,"AAAAAH+fLfs=")</f>
        <v>#REF!</v>
      </c>
      <c r="IS39" s="1" t="e">
        <f>AND(#REF!,"AAAAAH+fLfw=")</f>
        <v>#REF!</v>
      </c>
      <c r="IT39" s="1" t="e">
        <f>AND(#REF!,"AAAAAH+fLf0=")</f>
        <v>#REF!</v>
      </c>
      <c r="IU39" s="1" t="e">
        <f>AND(#REF!,"AAAAAH+fLf4=")</f>
        <v>#REF!</v>
      </c>
      <c r="IV39" s="1" t="e">
        <f>AND(#REF!,"AAAAAH+fLf8=")</f>
        <v>#REF!</v>
      </c>
    </row>
    <row r="40" spans="1:256" ht="15" customHeight="1" x14ac:dyDescent="0.2">
      <c r="A40" s="1" t="e">
        <f>AND(#REF!,"AAAAAG/pPwA=")</f>
        <v>#REF!</v>
      </c>
      <c r="B40" s="1" t="e">
        <f>AND(#REF!,"AAAAAG/pPwE=")</f>
        <v>#REF!</v>
      </c>
      <c r="C40" s="1" t="e">
        <f>AND(#REF!,"AAAAAG/pPwI=")</f>
        <v>#REF!</v>
      </c>
      <c r="D40" s="1" t="e">
        <f>AND(#REF!,"AAAAAG/pPwM=")</f>
        <v>#REF!</v>
      </c>
      <c r="E40" s="1" t="e">
        <f>AND(#REF!,"AAAAAG/pPwQ=")</f>
        <v>#REF!</v>
      </c>
      <c r="F40" s="1" t="e">
        <f>AND(#REF!,"AAAAAG/pPwU=")</f>
        <v>#REF!</v>
      </c>
      <c r="G40" s="1" t="e">
        <f>AND(#REF!,"AAAAAG/pPwY=")</f>
        <v>#REF!</v>
      </c>
      <c r="H40" s="1" t="e">
        <f>AND(#REF!,"AAAAAG/pPwc=")</f>
        <v>#REF!</v>
      </c>
      <c r="I40" s="1" t="e">
        <f>AND(#REF!,"AAAAAG/pPwg=")</f>
        <v>#REF!</v>
      </c>
      <c r="J40" s="1" t="e">
        <f>AND(#REF!,"AAAAAG/pPwk=")</f>
        <v>#REF!</v>
      </c>
      <c r="K40" s="1" t="e">
        <f>AND(#REF!,"AAAAAG/pPwo=")</f>
        <v>#REF!</v>
      </c>
      <c r="L40" s="1" t="e">
        <f>AND(#REF!,"AAAAAG/pPws=")</f>
        <v>#REF!</v>
      </c>
      <c r="M40" s="1" t="e">
        <f>AND(#REF!,"AAAAAG/pPww=")</f>
        <v>#REF!</v>
      </c>
      <c r="N40" s="1" t="e">
        <f>AND(#REF!,"AAAAAG/pPw0=")</f>
        <v>#REF!</v>
      </c>
      <c r="O40" s="1" t="e">
        <f>AND(#REF!,"AAAAAG/pPw4=")</f>
        <v>#REF!</v>
      </c>
      <c r="P40" s="1" t="e">
        <f>AND(#REF!,"AAAAAG/pPw8=")</f>
        <v>#REF!</v>
      </c>
      <c r="Q40" s="1" t="e">
        <f>AND(#REF!,"AAAAAG/pPxA=")</f>
        <v>#REF!</v>
      </c>
      <c r="R40" s="1" t="e">
        <f>AND(#REF!,"AAAAAG/pPxE=")</f>
        <v>#REF!</v>
      </c>
      <c r="S40" s="1" t="e">
        <f>AND(#REF!,"AAAAAG/pPxI=")</f>
        <v>#REF!</v>
      </c>
      <c r="T40" s="1" t="e">
        <f>AND(#REF!,"AAAAAG/pPxM=")</f>
        <v>#REF!</v>
      </c>
      <c r="U40" s="1" t="e">
        <f>AND(#REF!,"AAAAAG/pPxQ=")</f>
        <v>#REF!</v>
      </c>
      <c r="V40" s="1" t="e">
        <f>AND(#REF!,"AAAAAG/pPxU=")</f>
        <v>#REF!</v>
      </c>
      <c r="W40" s="1" t="e">
        <f>AND(#REF!,"AAAAAG/pPxY=")</f>
        <v>#REF!</v>
      </c>
      <c r="X40" s="1" t="e">
        <f>AND(#REF!,"AAAAAG/pPxc=")</f>
        <v>#REF!</v>
      </c>
      <c r="Y40" s="1" t="e">
        <f>AND(#REF!,"AAAAAG/pPxg=")</f>
        <v>#REF!</v>
      </c>
      <c r="Z40" s="1" t="e">
        <f>AND(#REF!,"AAAAAG/pPxk=")</f>
        <v>#REF!</v>
      </c>
      <c r="AA40" s="1" t="e">
        <f>AND(#REF!,"AAAAAG/pPxo=")</f>
        <v>#REF!</v>
      </c>
      <c r="AB40" s="1" t="e">
        <f>AND(#REF!,"AAAAAG/pPxs=")</f>
        <v>#REF!</v>
      </c>
      <c r="AC40" s="1" t="e">
        <f>AND(#REF!,"AAAAAG/pPxw=")</f>
        <v>#REF!</v>
      </c>
      <c r="AD40" s="1" t="e">
        <f>AND(#REF!,"AAAAAG/pPx0=")</f>
        <v>#REF!</v>
      </c>
      <c r="AE40" s="1" t="e">
        <f>AND(#REF!,"AAAAAG/pPx4=")</f>
        <v>#REF!</v>
      </c>
      <c r="AF40" s="1" t="e">
        <f>AND(#REF!,"AAAAAG/pPx8=")</f>
        <v>#REF!</v>
      </c>
      <c r="AG40" s="1" t="e">
        <f>AND(#REF!,"AAAAAG/pPyA=")</f>
        <v>#REF!</v>
      </c>
      <c r="AH40" s="1" t="e">
        <f>AND(#REF!,"AAAAAG/pPyE=")</f>
        <v>#REF!</v>
      </c>
      <c r="AI40" s="1" t="e">
        <f>AND(#REF!,"AAAAAG/pPyI=")</f>
        <v>#REF!</v>
      </c>
      <c r="AJ40" s="1" t="e">
        <f>AND(#REF!,"AAAAAG/pPyM=")</f>
        <v>#REF!</v>
      </c>
      <c r="AK40" s="1" t="e">
        <f>AND(#REF!,"AAAAAG/pPyQ=")</f>
        <v>#REF!</v>
      </c>
      <c r="AL40" s="1" t="e">
        <f>AND(#REF!,"AAAAAG/pPyU=")</f>
        <v>#REF!</v>
      </c>
      <c r="AM40" s="1" t="e">
        <f>AND(#REF!,"AAAAAG/pPyY=")</f>
        <v>#REF!</v>
      </c>
      <c r="AN40" s="1" t="e">
        <f>AND(#REF!,"AAAAAG/pPyc=")</f>
        <v>#REF!</v>
      </c>
      <c r="AO40" s="1" t="e">
        <f>AND(#REF!,"AAAAAG/pPyg=")</f>
        <v>#REF!</v>
      </c>
      <c r="AP40" s="1" t="e">
        <f>AND(#REF!,"AAAAAG/pPyk=")</f>
        <v>#REF!</v>
      </c>
      <c r="AQ40" s="1" t="e">
        <f>AND(#REF!,"AAAAAG/pPyo=")</f>
        <v>#REF!</v>
      </c>
      <c r="AR40" s="1" t="e">
        <f>AND(#REF!,"AAAAAG/pPys=")</f>
        <v>#REF!</v>
      </c>
      <c r="AS40" s="1" t="e">
        <f>AND(#REF!,"AAAAAG/pPyw=")</f>
        <v>#REF!</v>
      </c>
      <c r="AT40" s="1" t="e">
        <f>AND(#REF!,"AAAAAG/pPy0=")</f>
        <v>#REF!</v>
      </c>
      <c r="AU40" s="1" t="e">
        <f>AND(#REF!,"AAAAAG/pPy4=")</f>
        <v>#REF!</v>
      </c>
      <c r="AV40" s="1" t="e">
        <f>AND(#REF!,"AAAAAG/pPy8=")</f>
        <v>#REF!</v>
      </c>
      <c r="AW40" s="1" t="e">
        <f>AND(#REF!,"AAAAAG/pPzA=")</f>
        <v>#REF!</v>
      </c>
      <c r="AX40" s="1" t="e">
        <f>AND(#REF!,"AAAAAG/pPzE=")</f>
        <v>#REF!</v>
      </c>
      <c r="AY40" s="1" t="e">
        <f>AND(#REF!,"AAAAAG/pPzI=")</f>
        <v>#REF!</v>
      </c>
      <c r="AZ40" s="1" t="e">
        <f>AND(#REF!,"AAAAAG/pPzM=")</f>
        <v>#REF!</v>
      </c>
      <c r="BA40" s="1" t="e">
        <f>AND(#REF!,"AAAAAG/pPzQ=")</f>
        <v>#REF!</v>
      </c>
      <c r="BB40" s="1" t="e">
        <f>AND(#REF!,"AAAAAG/pPzU=")</f>
        <v>#REF!</v>
      </c>
      <c r="BC40" s="1" t="e">
        <f>AND(#REF!,"AAAAAG/pPzY=")</f>
        <v>#REF!</v>
      </c>
      <c r="BD40" s="1" t="e">
        <f>AND(#REF!,"AAAAAG/pPzc=")</f>
        <v>#REF!</v>
      </c>
      <c r="BE40" s="1" t="e">
        <f>AND(#REF!,"AAAAAG/pPzg=")</f>
        <v>#REF!</v>
      </c>
      <c r="BF40" s="1" t="e">
        <f>AND(#REF!,"AAAAAG/pPzk=")</f>
        <v>#REF!</v>
      </c>
      <c r="BG40" s="1" t="e">
        <f>AND(#REF!,"AAAAAG/pPzo=")</f>
        <v>#REF!</v>
      </c>
      <c r="BH40" s="1" t="e">
        <f>AND(#REF!,"AAAAAG/pPzs=")</f>
        <v>#REF!</v>
      </c>
      <c r="BI40" s="1" t="e">
        <f>AND(#REF!,"AAAAAG/pPzw=")</f>
        <v>#REF!</v>
      </c>
      <c r="BJ40" s="1" t="e">
        <f>IF(#REF!,"AAAAAG/pPz0=",0)</f>
        <v>#REF!</v>
      </c>
      <c r="BK40" s="1" t="e">
        <f>AND(#REF!,"AAAAAG/pPz4=")</f>
        <v>#REF!</v>
      </c>
      <c r="BL40" s="1" t="e">
        <f>AND(#REF!,"AAAAAG/pPz8=")</f>
        <v>#REF!</v>
      </c>
      <c r="BM40" s="1" t="e">
        <f>AND(#REF!,"AAAAAG/pP0A=")</f>
        <v>#REF!</v>
      </c>
      <c r="BN40" s="1" t="e">
        <f>AND(#REF!,"AAAAAG/pP0E=")</f>
        <v>#REF!</v>
      </c>
      <c r="BO40" s="1" t="e">
        <f>AND(#REF!,"AAAAAG/pP0I=")</f>
        <v>#REF!</v>
      </c>
      <c r="BP40" s="1" t="e">
        <f>AND(#REF!,"AAAAAG/pP0M=")</f>
        <v>#REF!</v>
      </c>
      <c r="BQ40" s="1" t="e">
        <f>AND(#REF!,"AAAAAG/pP0Q=")</f>
        <v>#REF!</v>
      </c>
      <c r="BR40" s="1" t="e">
        <f>AND(#REF!,"AAAAAG/pP0U=")</f>
        <v>#REF!</v>
      </c>
      <c r="BS40" s="1" t="e">
        <f>AND(#REF!,"AAAAAG/pP0Y=")</f>
        <v>#REF!</v>
      </c>
      <c r="BT40" s="1" t="e">
        <f>AND(#REF!,"AAAAAG/pP0c=")</f>
        <v>#REF!</v>
      </c>
      <c r="BU40" s="1" t="e">
        <f>AND(#REF!,"AAAAAG/pP0g=")</f>
        <v>#REF!</v>
      </c>
      <c r="BV40" s="1" t="e">
        <f>AND(#REF!,"AAAAAG/pP0k=")</f>
        <v>#REF!</v>
      </c>
      <c r="BW40" s="1" t="e">
        <f>AND(#REF!,"AAAAAG/pP0o=")</f>
        <v>#REF!</v>
      </c>
      <c r="BX40" s="1" t="e">
        <f>AND(#REF!,"AAAAAG/pP0s=")</f>
        <v>#REF!</v>
      </c>
      <c r="BY40" s="1" t="e">
        <f>AND(#REF!,"AAAAAG/pP0w=")</f>
        <v>#REF!</v>
      </c>
      <c r="BZ40" s="1" t="e">
        <f>AND(#REF!,"AAAAAG/pP00=")</f>
        <v>#REF!</v>
      </c>
      <c r="CA40" s="1" t="e">
        <f>AND(#REF!,"AAAAAG/pP04=")</f>
        <v>#REF!</v>
      </c>
      <c r="CB40" s="1" t="e">
        <f>AND(#REF!,"AAAAAG/pP08=")</f>
        <v>#REF!</v>
      </c>
      <c r="CC40" s="1" t="e">
        <f>AND(#REF!,"AAAAAG/pP1A=")</f>
        <v>#REF!</v>
      </c>
      <c r="CD40" s="1" t="e">
        <f>AND(#REF!,"AAAAAG/pP1E=")</f>
        <v>#REF!</v>
      </c>
      <c r="CE40" s="1" t="e">
        <f>AND(#REF!,"AAAAAG/pP1I=")</f>
        <v>#REF!</v>
      </c>
      <c r="CF40" s="1" t="e">
        <f>AND(#REF!,"AAAAAG/pP1M=")</f>
        <v>#REF!</v>
      </c>
      <c r="CG40" s="1" t="e">
        <f>AND(#REF!,"AAAAAG/pP1Q=")</f>
        <v>#REF!</v>
      </c>
      <c r="CH40" s="1" t="e">
        <f>AND(#REF!,"AAAAAG/pP1U=")</f>
        <v>#REF!</v>
      </c>
      <c r="CI40" s="1" t="e">
        <f>AND(#REF!,"AAAAAG/pP1Y=")</f>
        <v>#REF!</v>
      </c>
      <c r="CJ40" s="1" t="e">
        <f>AND(#REF!,"AAAAAG/pP1c=")</f>
        <v>#REF!</v>
      </c>
      <c r="CK40" s="1" t="e">
        <f>AND(#REF!,"AAAAAG/pP1g=")</f>
        <v>#REF!</v>
      </c>
      <c r="CL40" s="1" t="e">
        <f>AND(#REF!,"AAAAAG/pP1k=")</f>
        <v>#REF!</v>
      </c>
      <c r="CM40" s="1" t="e">
        <f>AND(#REF!,"AAAAAG/pP1o=")</f>
        <v>#REF!</v>
      </c>
      <c r="CN40" s="1" t="e">
        <f>AND(#REF!,"AAAAAG/pP1s=")</f>
        <v>#REF!</v>
      </c>
      <c r="CO40" s="1" t="e">
        <f>AND(#REF!,"AAAAAG/pP1w=")</f>
        <v>#REF!</v>
      </c>
      <c r="CP40" s="1" t="e">
        <f>AND(#REF!,"AAAAAG/pP10=")</f>
        <v>#REF!</v>
      </c>
      <c r="CQ40" s="1" t="e">
        <f>AND(#REF!,"AAAAAG/pP14=")</f>
        <v>#REF!</v>
      </c>
      <c r="CR40" s="1" t="e">
        <f>AND(#REF!,"AAAAAG/pP18=")</f>
        <v>#REF!</v>
      </c>
      <c r="CS40" s="1" t="e">
        <f>AND(#REF!,"AAAAAG/pP2A=")</f>
        <v>#REF!</v>
      </c>
      <c r="CT40" s="1" t="e">
        <f>AND(#REF!,"AAAAAG/pP2E=")</f>
        <v>#REF!</v>
      </c>
      <c r="CU40" s="1" t="e">
        <f>AND(#REF!,"AAAAAG/pP2I=")</f>
        <v>#REF!</v>
      </c>
      <c r="CV40" s="1" t="e">
        <f>AND(#REF!,"AAAAAG/pP2M=")</f>
        <v>#REF!</v>
      </c>
      <c r="CW40" s="1" t="e">
        <f>AND(#REF!,"AAAAAG/pP2Q=")</f>
        <v>#REF!</v>
      </c>
      <c r="CX40" s="1" t="e">
        <f>AND(#REF!,"AAAAAG/pP2U=")</f>
        <v>#REF!</v>
      </c>
      <c r="CY40" s="1" t="e">
        <f>AND(#REF!,"AAAAAG/pP2Y=")</f>
        <v>#REF!</v>
      </c>
      <c r="CZ40" s="1" t="e">
        <f>AND(#REF!,"AAAAAG/pP2c=")</f>
        <v>#REF!</v>
      </c>
      <c r="DA40" s="1" t="e">
        <f>AND(#REF!,"AAAAAG/pP2g=")</f>
        <v>#REF!</v>
      </c>
      <c r="DB40" s="1" t="e">
        <f>AND(#REF!,"AAAAAG/pP2k=")</f>
        <v>#REF!</v>
      </c>
      <c r="DC40" s="1" t="e">
        <f>AND(#REF!,"AAAAAG/pP2o=")</f>
        <v>#REF!</v>
      </c>
      <c r="DD40" s="1" t="e">
        <f>AND(#REF!,"AAAAAG/pP2s=")</f>
        <v>#REF!</v>
      </c>
      <c r="DE40" s="1" t="e">
        <f>AND(#REF!,"AAAAAG/pP2w=")</f>
        <v>#REF!</v>
      </c>
      <c r="DF40" s="1" t="e">
        <f>AND(#REF!,"AAAAAG/pP20=")</f>
        <v>#REF!</v>
      </c>
      <c r="DG40" s="1" t="e">
        <f>AND(#REF!,"AAAAAG/pP24=")</f>
        <v>#REF!</v>
      </c>
      <c r="DH40" s="1" t="e">
        <f>AND(#REF!,"AAAAAG/pP28=")</f>
        <v>#REF!</v>
      </c>
      <c r="DI40" s="1" t="e">
        <f>AND(#REF!,"AAAAAG/pP3A=")</f>
        <v>#REF!</v>
      </c>
      <c r="DJ40" s="1" t="e">
        <f>AND(#REF!,"AAAAAG/pP3E=")</f>
        <v>#REF!</v>
      </c>
      <c r="DK40" s="1" t="e">
        <f>AND(#REF!,"AAAAAG/pP3I=")</f>
        <v>#REF!</v>
      </c>
      <c r="DL40" s="1" t="e">
        <f>AND(#REF!,"AAAAAG/pP3M=")</f>
        <v>#REF!</v>
      </c>
      <c r="DM40" s="1" t="e">
        <f>AND(#REF!,"AAAAAG/pP3Q=")</f>
        <v>#REF!</v>
      </c>
      <c r="DN40" s="1" t="e">
        <f>AND(#REF!,"AAAAAG/pP3U=")</f>
        <v>#REF!</v>
      </c>
      <c r="DO40" s="1" t="e">
        <f>AND(#REF!,"AAAAAG/pP3Y=")</f>
        <v>#REF!</v>
      </c>
      <c r="DP40" s="1" t="e">
        <f>AND(#REF!,"AAAAAG/pP3c=")</f>
        <v>#REF!</v>
      </c>
      <c r="DQ40" s="1" t="e">
        <f>AND(#REF!,"AAAAAG/pP3g=")</f>
        <v>#REF!</v>
      </c>
      <c r="DR40" s="1" t="e">
        <f>AND(#REF!,"AAAAAG/pP3k=")</f>
        <v>#REF!</v>
      </c>
      <c r="DS40" s="1" t="e">
        <f>AND(#REF!,"AAAAAG/pP3o=")</f>
        <v>#REF!</v>
      </c>
      <c r="DT40" s="1" t="e">
        <f>AND(#REF!,"AAAAAG/pP3s=")</f>
        <v>#REF!</v>
      </c>
      <c r="DU40" s="1" t="e">
        <f>AND(#REF!,"AAAAAG/pP3w=")</f>
        <v>#REF!</v>
      </c>
      <c r="DV40" s="1" t="e">
        <f>AND(#REF!,"AAAAAG/pP30=")</f>
        <v>#REF!</v>
      </c>
      <c r="DW40" s="1" t="e">
        <f>AND(#REF!,"AAAAAG/pP34=")</f>
        <v>#REF!</v>
      </c>
      <c r="DX40" s="1" t="e">
        <f>AND(#REF!,"AAAAAG/pP38=")</f>
        <v>#REF!</v>
      </c>
      <c r="DY40" s="1" t="e">
        <f>AND(#REF!,"AAAAAG/pP4A=")</f>
        <v>#REF!</v>
      </c>
      <c r="DZ40" s="1" t="e">
        <f>AND(#REF!,"AAAAAG/pP4E=")</f>
        <v>#REF!</v>
      </c>
      <c r="EA40" s="1" t="e">
        <f>AND(#REF!,"AAAAAG/pP4I=")</f>
        <v>#REF!</v>
      </c>
      <c r="EB40" s="1" t="e">
        <f>AND(#REF!,"AAAAAG/pP4M=")</f>
        <v>#REF!</v>
      </c>
      <c r="EC40" s="1" t="e">
        <f>AND(#REF!,"AAAAAG/pP4Q=")</f>
        <v>#REF!</v>
      </c>
      <c r="ED40" s="1" t="e">
        <f>AND(#REF!,"AAAAAG/pP4U=")</f>
        <v>#REF!</v>
      </c>
      <c r="EE40" s="1" t="e">
        <f>AND(#REF!,"AAAAAG/pP4Y=")</f>
        <v>#REF!</v>
      </c>
      <c r="EF40" s="1" t="e">
        <f>AND(#REF!,"AAAAAG/pP4c=")</f>
        <v>#REF!</v>
      </c>
      <c r="EG40" s="1" t="e">
        <f>AND(#REF!,"AAAAAG/pP4g=")</f>
        <v>#REF!</v>
      </c>
      <c r="EH40" s="1" t="e">
        <f>AND(#REF!,"AAAAAG/pP4k=")</f>
        <v>#REF!</v>
      </c>
      <c r="EI40" s="1" t="e">
        <f>AND(#REF!,"AAAAAG/pP4o=")</f>
        <v>#REF!</v>
      </c>
      <c r="EJ40" s="1" t="e">
        <f>AND(#REF!,"AAAAAG/pP4s=")</f>
        <v>#REF!</v>
      </c>
      <c r="EK40" s="1" t="e">
        <f>AND(#REF!,"AAAAAG/pP4w=")</f>
        <v>#REF!</v>
      </c>
      <c r="EL40" s="1" t="e">
        <f>AND(#REF!,"AAAAAG/pP40=")</f>
        <v>#REF!</v>
      </c>
      <c r="EM40" s="1" t="e">
        <f>AND(#REF!,"AAAAAG/pP44=")</f>
        <v>#REF!</v>
      </c>
      <c r="EN40" s="1" t="e">
        <f>AND(#REF!,"AAAAAG/pP48=")</f>
        <v>#REF!</v>
      </c>
      <c r="EO40" s="1" t="e">
        <f>AND(#REF!,"AAAAAG/pP5A=")</f>
        <v>#REF!</v>
      </c>
      <c r="EP40" s="1" t="e">
        <f>AND(#REF!,"AAAAAG/pP5E=")</f>
        <v>#REF!</v>
      </c>
      <c r="EQ40" s="1" t="e">
        <f>AND(#REF!,"AAAAAG/pP5I=")</f>
        <v>#REF!</v>
      </c>
      <c r="ER40" s="1" t="e">
        <f>AND(#REF!,"AAAAAG/pP5M=")</f>
        <v>#REF!</v>
      </c>
      <c r="ES40" s="1" t="e">
        <f>AND(#REF!,"AAAAAG/pP5Q=")</f>
        <v>#REF!</v>
      </c>
      <c r="ET40" s="1" t="e">
        <f>AND(#REF!,"AAAAAG/pP5U=")</f>
        <v>#REF!</v>
      </c>
      <c r="EU40" s="1" t="e">
        <f>AND(#REF!,"AAAAAG/pP5Y=")</f>
        <v>#REF!</v>
      </c>
      <c r="EV40" s="1" t="e">
        <f>AND(#REF!,"AAAAAG/pP5c=")</f>
        <v>#REF!</v>
      </c>
      <c r="EW40" s="1" t="e">
        <f>AND(#REF!,"AAAAAG/pP5g=")</f>
        <v>#REF!</v>
      </c>
      <c r="EX40" s="1" t="e">
        <f>AND(#REF!,"AAAAAG/pP5k=")</f>
        <v>#REF!</v>
      </c>
      <c r="EY40" s="1" t="e">
        <f>AND(#REF!,"AAAAAG/pP5o=")</f>
        <v>#REF!</v>
      </c>
      <c r="EZ40" s="1" t="e">
        <f>AND(#REF!,"AAAAAG/pP5s=")</f>
        <v>#REF!</v>
      </c>
      <c r="FA40" s="1" t="e">
        <f>AND(#REF!,"AAAAAG/pP5w=")</f>
        <v>#REF!</v>
      </c>
      <c r="FB40" s="1" t="e">
        <f>AND(#REF!,"AAAAAG/pP50=")</f>
        <v>#REF!</v>
      </c>
      <c r="FC40" s="1" t="e">
        <f>AND(#REF!,"AAAAAG/pP54=")</f>
        <v>#REF!</v>
      </c>
      <c r="FD40" s="1" t="e">
        <f>AND(#REF!,"AAAAAG/pP58=")</f>
        <v>#REF!</v>
      </c>
      <c r="FE40" s="1" t="e">
        <f>AND(#REF!,"AAAAAG/pP6A=")</f>
        <v>#REF!</v>
      </c>
      <c r="FF40" s="1" t="e">
        <f>AND(#REF!,"AAAAAG/pP6E=")</f>
        <v>#REF!</v>
      </c>
      <c r="FG40" s="1" t="e">
        <f>AND(#REF!,"AAAAAG/pP6I=")</f>
        <v>#REF!</v>
      </c>
      <c r="FH40" s="1" t="e">
        <f>AND(#REF!,"AAAAAG/pP6M=")</f>
        <v>#REF!</v>
      </c>
      <c r="FI40" s="1" t="e">
        <f>IF(#REF!,"AAAAAG/pP6Q=",0)</f>
        <v>#REF!</v>
      </c>
      <c r="FJ40" s="1" t="e">
        <f>AND(#REF!,"AAAAAG/pP6U=")</f>
        <v>#REF!</v>
      </c>
      <c r="FK40" s="1" t="e">
        <f>AND(#REF!,"AAAAAG/pP6Y=")</f>
        <v>#REF!</v>
      </c>
      <c r="FL40" s="1" t="e">
        <f>AND(#REF!,"AAAAAG/pP6c=")</f>
        <v>#REF!</v>
      </c>
      <c r="FM40" s="1" t="e">
        <f>AND(#REF!,"AAAAAG/pP6g=")</f>
        <v>#REF!</v>
      </c>
      <c r="FN40" s="1" t="e">
        <f>AND(#REF!,"AAAAAG/pP6k=")</f>
        <v>#REF!</v>
      </c>
      <c r="FO40" s="1" t="e">
        <f>AND(#REF!,"AAAAAG/pP6o=")</f>
        <v>#REF!</v>
      </c>
      <c r="FP40" s="1" t="e">
        <f>AND(#REF!,"AAAAAG/pP6s=")</f>
        <v>#REF!</v>
      </c>
      <c r="FQ40" s="1" t="e">
        <f>AND(#REF!,"AAAAAG/pP6w=")</f>
        <v>#REF!</v>
      </c>
      <c r="FR40" s="1" t="e">
        <f>AND(#REF!,"AAAAAG/pP60=")</f>
        <v>#REF!</v>
      </c>
      <c r="FS40" s="1" t="e">
        <f>AND(#REF!,"AAAAAG/pP64=")</f>
        <v>#REF!</v>
      </c>
      <c r="FT40" s="1" t="e">
        <f>AND(#REF!,"AAAAAG/pP68=")</f>
        <v>#REF!</v>
      </c>
      <c r="FU40" s="1" t="e">
        <f>AND(#REF!,"AAAAAG/pP7A=")</f>
        <v>#REF!</v>
      </c>
      <c r="FV40" s="1" t="e">
        <f>AND(#REF!,"AAAAAG/pP7E=")</f>
        <v>#REF!</v>
      </c>
      <c r="FW40" s="1" t="e">
        <f>AND(#REF!,"AAAAAG/pP7I=")</f>
        <v>#REF!</v>
      </c>
      <c r="FX40" s="1" t="e">
        <f>AND(#REF!,"AAAAAG/pP7M=")</f>
        <v>#REF!</v>
      </c>
      <c r="FY40" s="1" t="e">
        <f>AND(#REF!,"AAAAAG/pP7Q=")</f>
        <v>#REF!</v>
      </c>
      <c r="FZ40" s="1" t="e">
        <f>AND(#REF!,"AAAAAG/pP7U=")</f>
        <v>#REF!</v>
      </c>
      <c r="GA40" s="1" t="e">
        <f>AND(#REF!,"AAAAAG/pP7Y=")</f>
        <v>#REF!</v>
      </c>
      <c r="GB40" s="1" t="e">
        <f>AND(#REF!,"AAAAAG/pP7c=")</f>
        <v>#REF!</v>
      </c>
      <c r="GC40" s="1" t="e">
        <f>AND(#REF!,"AAAAAG/pP7g=")</f>
        <v>#REF!</v>
      </c>
      <c r="GD40" s="1" t="e">
        <f>AND(#REF!,"AAAAAG/pP7k=")</f>
        <v>#REF!</v>
      </c>
      <c r="GE40" s="1" t="e">
        <f>AND(#REF!,"AAAAAG/pP7o=")</f>
        <v>#REF!</v>
      </c>
      <c r="GF40" s="1" t="e">
        <f>AND(#REF!,"AAAAAG/pP7s=")</f>
        <v>#REF!</v>
      </c>
      <c r="GG40" s="1" t="e">
        <f>AND(#REF!,"AAAAAG/pP7w=")</f>
        <v>#REF!</v>
      </c>
      <c r="GH40" s="1" t="e">
        <f>AND(#REF!,"AAAAAG/pP70=")</f>
        <v>#REF!</v>
      </c>
      <c r="GI40" s="1" t="e">
        <f>AND(#REF!,"AAAAAG/pP74=")</f>
        <v>#REF!</v>
      </c>
      <c r="GJ40" s="1" t="e">
        <f>AND(#REF!,"AAAAAG/pP78=")</f>
        <v>#REF!</v>
      </c>
      <c r="GK40" s="1" t="e">
        <f>AND(#REF!,"AAAAAG/pP8A=")</f>
        <v>#REF!</v>
      </c>
      <c r="GL40" s="1" t="e">
        <f>AND(#REF!,"AAAAAG/pP8E=")</f>
        <v>#REF!</v>
      </c>
      <c r="GM40" s="1" t="e">
        <f>AND(#REF!,"AAAAAG/pP8I=")</f>
        <v>#REF!</v>
      </c>
      <c r="GN40" s="1" t="e">
        <f>AND(#REF!,"AAAAAG/pP8M=")</f>
        <v>#REF!</v>
      </c>
      <c r="GO40" s="1" t="e">
        <f>AND(#REF!,"AAAAAG/pP8Q=")</f>
        <v>#REF!</v>
      </c>
      <c r="GP40" s="1" t="e">
        <f>AND(#REF!,"AAAAAG/pP8U=")</f>
        <v>#REF!</v>
      </c>
      <c r="GQ40" s="1" t="e">
        <f>AND(#REF!,"AAAAAG/pP8Y=")</f>
        <v>#REF!</v>
      </c>
      <c r="GR40" s="1" t="e">
        <f>AND(#REF!,"AAAAAG/pP8c=")</f>
        <v>#REF!</v>
      </c>
      <c r="GS40" s="1" t="e">
        <f>AND(#REF!,"AAAAAG/pP8g=")</f>
        <v>#REF!</v>
      </c>
      <c r="GT40" s="1" t="e">
        <f>AND(#REF!,"AAAAAG/pP8k=")</f>
        <v>#REF!</v>
      </c>
      <c r="GU40" s="1" t="e">
        <f>AND(#REF!,"AAAAAG/pP8o=")</f>
        <v>#REF!</v>
      </c>
      <c r="GV40" s="1" t="e">
        <f>AND(#REF!,"AAAAAG/pP8s=")</f>
        <v>#REF!</v>
      </c>
      <c r="GW40" s="1" t="e">
        <f>AND(#REF!,"AAAAAG/pP8w=")</f>
        <v>#REF!</v>
      </c>
      <c r="GX40" s="1" t="e">
        <f>AND(#REF!,"AAAAAG/pP80=")</f>
        <v>#REF!</v>
      </c>
      <c r="GY40" s="1" t="e">
        <f>AND(#REF!,"AAAAAG/pP84=")</f>
        <v>#REF!</v>
      </c>
      <c r="GZ40" s="1" t="e">
        <f>AND(#REF!,"AAAAAG/pP88=")</f>
        <v>#REF!</v>
      </c>
      <c r="HA40" s="1" t="e">
        <f>AND(#REF!,"AAAAAG/pP9A=")</f>
        <v>#REF!</v>
      </c>
      <c r="HB40" s="1" t="e">
        <f>AND(#REF!,"AAAAAG/pP9E=")</f>
        <v>#REF!</v>
      </c>
      <c r="HC40" s="1" t="e">
        <f>AND(#REF!,"AAAAAG/pP9I=")</f>
        <v>#REF!</v>
      </c>
      <c r="HD40" s="1" t="e">
        <f>AND(#REF!,"AAAAAG/pP9M=")</f>
        <v>#REF!</v>
      </c>
      <c r="HE40" s="1" t="e">
        <f>AND(#REF!,"AAAAAG/pP9Q=")</f>
        <v>#REF!</v>
      </c>
      <c r="HF40" s="1" t="e">
        <f>AND(#REF!,"AAAAAG/pP9U=")</f>
        <v>#REF!</v>
      </c>
      <c r="HG40" s="1" t="e">
        <f>AND(#REF!,"AAAAAG/pP9Y=")</f>
        <v>#REF!</v>
      </c>
      <c r="HH40" s="1" t="e">
        <f>AND(#REF!,"AAAAAG/pP9c=")</f>
        <v>#REF!</v>
      </c>
      <c r="HI40" s="1" t="e">
        <f>AND(#REF!,"AAAAAG/pP9g=")</f>
        <v>#REF!</v>
      </c>
      <c r="HJ40" s="1" t="e">
        <f>AND(#REF!,"AAAAAG/pP9k=")</f>
        <v>#REF!</v>
      </c>
      <c r="HK40" s="1" t="e">
        <f>AND(#REF!,"AAAAAG/pP9o=")</f>
        <v>#REF!</v>
      </c>
      <c r="HL40" s="1" t="e">
        <f>AND(#REF!,"AAAAAG/pP9s=")</f>
        <v>#REF!</v>
      </c>
      <c r="HM40" s="1" t="e">
        <f>AND(#REF!,"AAAAAG/pP9w=")</f>
        <v>#REF!</v>
      </c>
      <c r="HN40" s="1" t="e">
        <f>AND(#REF!,"AAAAAG/pP90=")</f>
        <v>#REF!</v>
      </c>
      <c r="HO40" s="1" t="e">
        <f>AND(#REF!,"AAAAAG/pP94=")</f>
        <v>#REF!</v>
      </c>
      <c r="HP40" s="1" t="e">
        <f>AND(#REF!,"AAAAAG/pP98=")</f>
        <v>#REF!</v>
      </c>
      <c r="HQ40" s="1" t="e">
        <f>AND(#REF!,"AAAAAG/pP+A=")</f>
        <v>#REF!</v>
      </c>
      <c r="HR40" s="1" t="e">
        <f>AND(#REF!,"AAAAAG/pP+E=")</f>
        <v>#REF!</v>
      </c>
      <c r="HS40" s="1" t="e">
        <f>AND(#REF!,"AAAAAG/pP+I=")</f>
        <v>#REF!</v>
      </c>
      <c r="HT40" s="1" t="e">
        <f>AND(#REF!,"AAAAAG/pP+M=")</f>
        <v>#REF!</v>
      </c>
      <c r="HU40" s="1" t="e">
        <f>AND(#REF!,"AAAAAG/pP+Q=")</f>
        <v>#REF!</v>
      </c>
      <c r="HV40" s="1" t="e">
        <f>AND(#REF!,"AAAAAG/pP+U=")</f>
        <v>#REF!</v>
      </c>
      <c r="HW40" s="1" t="e">
        <f>AND(#REF!,"AAAAAG/pP+Y=")</f>
        <v>#REF!</v>
      </c>
      <c r="HX40" s="1" t="e">
        <f>AND(#REF!,"AAAAAG/pP+c=")</f>
        <v>#REF!</v>
      </c>
      <c r="HY40" s="1" t="e">
        <f>AND(#REF!,"AAAAAG/pP+g=")</f>
        <v>#REF!</v>
      </c>
      <c r="HZ40" s="1" t="e">
        <f>AND(#REF!,"AAAAAG/pP+k=")</f>
        <v>#REF!</v>
      </c>
      <c r="IA40" s="1" t="e">
        <f>AND(#REF!,"AAAAAG/pP+o=")</f>
        <v>#REF!</v>
      </c>
      <c r="IB40" s="1" t="e">
        <f>AND(#REF!,"AAAAAG/pP+s=")</f>
        <v>#REF!</v>
      </c>
      <c r="IC40" s="1" t="e">
        <f>AND(#REF!,"AAAAAG/pP+w=")</f>
        <v>#REF!</v>
      </c>
      <c r="ID40" s="1" t="e">
        <f>AND(#REF!,"AAAAAG/pP+0=")</f>
        <v>#REF!</v>
      </c>
      <c r="IE40" s="1" t="e">
        <f>AND(#REF!,"AAAAAG/pP+4=")</f>
        <v>#REF!</v>
      </c>
      <c r="IF40" s="1" t="e">
        <f>AND(#REF!,"AAAAAG/pP+8=")</f>
        <v>#REF!</v>
      </c>
      <c r="IG40" s="1" t="e">
        <f>AND(#REF!,"AAAAAG/pP/A=")</f>
        <v>#REF!</v>
      </c>
      <c r="IH40" s="1" t="e">
        <f>AND(#REF!,"AAAAAG/pP/E=")</f>
        <v>#REF!</v>
      </c>
      <c r="II40" s="1" t="e">
        <f>AND(#REF!,"AAAAAG/pP/I=")</f>
        <v>#REF!</v>
      </c>
      <c r="IJ40" s="1" t="e">
        <f>AND(#REF!,"AAAAAG/pP/M=")</f>
        <v>#REF!</v>
      </c>
      <c r="IK40" s="1" t="e">
        <f>AND(#REF!,"AAAAAG/pP/Q=")</f>
        <v>#REF!</v>
      </c>
      <c r="IL40" s="1" t="e">
        <f>AND(#REF!,"AAAAAG/pP/U=")</f>
        <v>#REF!</v>
      </c>
      <c r="IM40" s="1" t="e">
        <f>AND(#REF!,"AAAAAG/pP/Y=")</f>
        <v>#REF!</v>
      </c>
      <c r="IN40" s="1" t="e">
        <f>AND(#REF!,"AAAAAG/pP/c=")</f>
        <v>#REF!</v>
      </c>
      <c r="IO40" s="1" t="e">
        <f>AND(#REF!,"AAAAAG/pP/g=")</f>
        <v>#REF!</v>
      </c>
      <c r="IP40" s="1" t="e">
        <f>AND(#REF!,"AAAAAG/pP/k=")</f>
        <v>#REF!</v>
      </c>
      <c r="IQ40" s="1" t="e">
        <f>AND(#REF!,"AAAAAG/pP/o=")</f>
        <v>#REF!</v>
      </c>
      <c r="IR40" s="1" t="e">
        <f>AND(#REF!,"AAAAAG/pP/s=")</f>
        <v>#REF!</v>
      </c>
      <c r="IS40" s="1" t="e">
        <f>AND(#REF!,"AAAAAG/pP/w=")</f>
        <v>#REF!</v>
      </c>
      <c r="IT40" s="1" t="e">
        <f>AND(#REF!,"AAAAAG/pP/0=")</f>
        <v>#REF!</v>
      </c>
      <c r="IU40" s="1" t="e">
        <f>AND(#REF!,"AAAAAG/pP/4=")</f>
        <v>#REF!</v>
      </c>
      <c r="IV40" s="1" t="e">
        <f>AND(#REF!,"AAAAAG/pP/8=")</f>
        <v>#REF!</v>
      </c>
    </row>
    <row r="41" spans="1:256" ht="15" customHeight="1" x14ac:dyDescent="0.2">
      <c r="A41" s="1" t="e">
        <f>AND(#REF!,"AAAAAH3tugA=")</f>
        <v>#REF!</v>
      </c>
      <c r="B41" s="1" t="e">
        <f>AND(#REF!,"AAAAAH3tugE=")</f>
        <v>#REF!</v>
      </c>
      <c r="C41" s="1" t="e">
        <f>AND(#REF!,"AAAAAH3tugI=")</f>
        <v>#REF!</v>
      </c>
      <c r="D41" s="1" t="e">
        <f>AND(#REF!,"AAAAAH3tugM=")</f>
        <v>#REF!</v>
      </c>
      <c r="E41" s="1" t="e">
        <f>AND(#REF!,"AAAAAH3tugQ=")</f>
        <v>#REF!</v>
      </c>
      <c r="F41" s="1" t="e">
        <f>AND(#REF!,"AAAAAH3tugU=")</f>
        <v>#REF!</v>
      </c>
      <c r="G41" s="1" t="e">
        <f>AND(#REF!,"AAAAAH3tugY=")</f>
        <v>#REF!</v>
      </c>
      <c r="H41" s="1" t="e">
        <f>AND(#REF!,"AAAAAH3tugc=")</f>
        <v>#REF!</v>
      </c>
      <c r="I41" s="1" t="e">
        <f>AND(#REF!,"AAAAAH3tugg=")</f>
        <v>#REF!</v>
      </c>
      <c r="J41" s="1" t="e">
        <f>AND(#REF!,"AAAAAH3tugk=")</f>
        <v>#REF!</v>
      </c>
      <c r="K41" s="1" t="e">
        <f>AND(#REF!,"AAAAAH3tugo=")</f>
        <v>#REF!</v>
      </c>
      <c r="L41" s="1" t="e">
        <f>IF(#REF!,"AAAAAH3tugs=",0)</f>
        <v>#REF!</v>
      </c>
      <c r="M41" s="1" t="e">
        <f>AND(#REF!,"AAAAAH3tugw=")</f>
        <v>#REF!</v>
      </c>
      <c r="N41" s="1" t="e">
        <f>AND(#REF!,"AAAAAH3tug0=")</f>
        <v>#REF!</v>
      </c>
      <c r="O41" s="1" t="e">
        <f>AND(#REF!,"AAAAAH3tug4=")</f>
        <v>#REF!</v>
      </c>
      <c r="P41" s="1" t="e">
        <f>AND(#REF!,"AAAAAH3tug8=")</f>
        <v>#REF!</v>
      </c>
      <c r="Q41" s="1" t="e">
        <f>AND(#REF!,"AAAAAH3tuhA=")</f>
        <v>#REF!</v>
      </c>
      <c r="R41" s="1" t="e">
        <f>AND(#REF!,"AAAAAH3tuhE=")</f>
        <v>#REF!</v>
      </c>
      <c r="S41" s="1" t="e">
        <f>AND(#REF!,"AAAAAH3tuhI=")</f>
        <v>#REF!</v>
      </c>
      <c r="T41" s="1" t="e">
        <f>AND(#REF!,"AAAAAH3tuhM=")</f>
        <v>#REF!</v>
      </c>
      <c r="U41" s="1" t="e">
        <f>AND(#REF!,"AAAAAH3tuhQ=")</f>
        <v>#REF!</v>
      </c>
      <c r="V41" s="1" t="e">
        <f>AND(#REF!,"AAAAAH3tuhU=")</f>
        <v>#REF!</v>
      </c>
      <c r="W41" s="1" t="e">
        <f>AND(#REF!,"AAAAAH3tuhY=")</f>
        <v>#REF!</v>
      </c>
      <c r="X41" s="1" t="e">
        <f>AND(#REF!,"AAAAAH3tuhc=")</f>
        <v>#REF!</v>
      </c>
      <c r="Y41" s="1" t="e">
        <f>AND(#REF!,"AAAAAH3tuhg=")</f>
        <v>#REF!</v>
      </c>
      <c r="Z41" s="1" t="e">
        <f>AND(#REF!,"AAAAAH3tuhk=")</f>
        <v>#REF!</v>
      </c>
      <c r="AA41" s="1" t="e">
        <f>AND(#REF!,"AAAAAH3tuho=")</f>
        <v>#REF!</v>
      </c>
      <c r="AB41" s="1" t="e">
        <f>AND(#REF!,"AAAAAH3tuhs=")</f>
        <v>#REF!</v>
      </c>
      <c r="AC41" s="1" t="e">
        <f>AND(#REF!,"AAAAAH3tuhw=")</f>
        <v>#REF!</v>
      </c>
      <c r="AD41" s="1" t="e">
        <f>AND(#REF!,"AAAAAH3tuh0=")</f>
        <v>#REF!</v>
      </c>
      <c r="AE41" s="1" t="e">
        <f>AND(#REF!,"AAAAAH3tuh4=")</f>
        <v>#REF!</v>
      </c>
      <c r="AF41" s="1" t="e">
        <f>AND(#REF!,"AAAAAH3tuh8=")</f>
        <v>#REF!</v>
      </c>
      <c r="AG41" s="1" t="e">
        <f>AND(#REF!,"AAAAAH3tuiA=")</f>
        <v>#REF!</v>
      </c>
      <c r="AH41" s="1" t="e">
        <f>AND(#REF!,"AAAAAH3tuiE=")</f>
        <v>#REF!</v>
      </c>
      <c r="AI41" s="1" t="e">
        <f>AND(#REF!,"AAAAAH3tuiI=")</f>
        <v>#REF!</v>
      </c>
      <c r="AJ41" s="1" t="e">
        <f>AND(#REF!,"AAAAAH3tuiM=")</f>
        <v>#REF!</v>
      </c>
      <c r="AK41" s="1" t="e">
        <f>AND(#REF!,"AAAAAH3tuiQ=")</f>
        <v>#REF!</v>
      </c>
      <c r="AL41" s="1" t="e">
        <f>AND(#REF!,"AAAAAH3tuiU=")</f>
        <v>#REF!</v>
      </c>
      <c r="AM41" s="1" t="e">
        <f>AND(#REF!,"AAAAAH3tuiY=")</f>
        <v>#REF!</v>
      </c>
      <c r="AN41" s="1" t="e">
        <f>AND(#REF!,"AAAAAH3tuic=")</f>
        <v>#REF!</v>
      </c>
      <c r="AO41" s="1" t="e">
        <f>AND(#REF!,"AAAAAH3tuig=")</f>
        <v>#REF!</v>
      </c>
      <c r="AP41" s="1" t="e">
        <f>AND(#REF!,"AAAAAH3tuik=")</f>
        <v>#REF!</v>
      </c>
      <c r="AQ41" s="1" t="e">
        <f>AND(#REF!,"AAAAAH3tuio=")</f>
        <v>#REF!</v>
      </c>
      <c r="AR41" s="1" t="e">
        <f>AND(#REF!,"AAAAAH3tuis=")</f>
        <v>#REF!</v>
      </c>
      <c r="AS41" s="1" t="e">
        <f>AND(#REF!,"AAAAAH3tuiw=")</f>
        <v>#REF!</v>
      </c>
      <c r="AT41" s="1" t="e">
        <f>AND(#REF!,"AAAAAH3tui0=")</f>
        <v>#REF!</v>
      </c>
      <c r="AU41" s="1" t="e">
        <f>AND(#REF!,"AAAAAH3tui4=")</f>
        <v>#REF!</v>
      </c>
      <c r="AV41" s="1" t="e">
        <f>AND(#REF!,"AAAAAH3tui8=")</f>
        <v>#REF!</v>
      </c>
      <c r="AW41" s="1" t="e">
        <f>AND(#REF!,"AAAAAH3tujA=")</f>
        <v>#REF!</v>
      </c>
      <c r="AX41" s="1" t="e">
        <f>AND(#REF!,"AAAAAH3tujE=")</f>
        <v>#REF!</v>
      </c>
      <c r="AY41" s="1" t="e">
        <f>AND(#REF!,"AAAAAH3tujI=")</f>
        <v>#REF!</v>
      </c>
      <c r="AZ41" s="1" t="e">
        <f>AND(#REF!,"AAAAAH3tujM=")</f>
        <v>#REF!</v>
      </c>
      <c r="BA41" s="1" t="e">
        <f>AND(#REF!,"AAAAAH3tujQ=")</f>
        <v>#REF!</v>
      </c>
      <c r="BB41" s="1" t="e">
        <f>AND(#REF!,"AAAAAH3tujU=")</f>
        <v>#REF!</v>
      </c>
      <c r="BC41" s="1" t="e">
        <f>AND(#REF!,"AAAAAH3tujY=")</f>
        <v>#REF!</v>
      </c>
      <c r="BD41" s="1" t="e">
        <f>AND(#REF!,"AAAAAH3tujc=")</f>
        <v>#REF!</v>
      </c>
      <c r="BE41" s="1" t="e">
        <f>AND(#REF!,"AAAAAH3tujg=")</f>
        <v>#REF!</v>
      </c>
      <c r="BF41" s="1" t="e">
        <f>AND(#REF!,"AAAAAH3tujk=")</f>
        <v>#REF!</v>
      </c>
      <c r="BG41" s="1" t="e">
        <f>AND(#REF!,"AAAAAH3tujo=")</f>
        <v>#REF!</v>
      </c>
      <c r="BH41" s="1" t="e">
        <f>AND(#REF!,"AAAAAH3tujs=")</f>
        <v>#REF!</v>
      </c>
      <c r="BI41" s="1" t="e">
        <f>AND(#REF!,"AAAAAH3tujw=")</f>
        <v>#REF!</v>
      </c>
      <c r="BJ41" s="1" t="e">
        <f>AND(#REF!,"AAAAAH3tuj0=")</f>
        <v>#REF!</v>
      </c>
      <c r="BK41" s="1" t="e">
        <f>AND(#REF!,"AAAAAH3tuj4=")</f>
        <v>#REF!</v>
      </c>
      <c r="BL41" s="1" t="e">
        <f>AND(#REF!,"AAAAAH3tuj8=")</f>
        <v>#REF!</v>
      </c>
      <c r="BM41" s="1" t="e">
        <f>AND(#REF!,"AAAAAH3tukA=")</f>
        <v>#REF!</v>
      </c>
      <c r="BN41" s="1" t="e">
        <f>AND(#REF!,"AAAAAH3tukE=")</f>
        <v>#REF!</v>
      </c>
      <c r="BO41" s="1" t="e">
        <f>AND(#REF!,"AAAAAH3tukI=")</f>
        <v>#REF!</v>
      </c>
      <c r="BP41" s="1" t="e">
        <f>AND(#REF!,"AAAAAH3tukM=")</f>
        <v>#REF!</v>
      </c>
      <c r="BQ41" s="1" t="e">
        <f>AND(#REF!,"AAAAAH3tukQ=")</f>
        <v>#REF!</v>
      </c>
      <c r="BR41" s="1" t="e">
        <f>AND(#REF!,"AAAAAH3tukU=")</f>
        <v>#REF!</v>
      </c>
      <c r="BS41" s="1" t="e">
        <f>AND(#REF!,"AAAAAH3tukY=")</f>
        <v>#REF!</v>
      </c>
      <c r="BT41" s="1" t="e">
        <f>AND(#REF!,"AAAAAH3tukc=")</f>
        <v>#REF!</v>
      </c>
      <c r="BU41" s="1" t="e">
        <f>AND(#REF!,"AAAAAH3tukg=")</f>
        <v>#REF!</v>
      </c>
      <c r="BV41" s="1" t="e">
        <f>AND(#REF!,"AAAAAH3tukk=")</f>
        <v>#REF!</v>
      </c>
      <c r="BW41" s="1" t="e">
        <f>AND(#REF!,"AAAAAH3tuko=")</f>
        <v>#REF!</v>
      </c>
      <c r="BX41" s="1" t="e">
        <f>AND(#REF!,"AAAAAH3tuks=")</f>
        <v>#REF!</v>
      </c>
      <c r="BY41" s="1" t="e">
        <f>AND(#REF!,"AAAAAH3tukw=")</f>
        <v>#REF!</v>
      </c>
      <c r="BZ41" s="1" t="e">
        <f>AND(#REF!,"AAAAAH3tuk0=")</f>
        <v>#REF!</v>
      </c>
      <c r="CA41" s="1" t="e">
        <f>AND(#REF!,"AAAAAH3tuk4=")</f>
        <v>#REF!</v>
      </c>
      <c r="CB41" s="1" t="e">
        <f>AND(#REF!,"AAAAAH3tuk8=")</f>
        <v>#REF!</v>
      </c>
      <c r="CC41" s="1" t="e">
        <f>AND(#REF!,"AAAAAH3tulA=")</f>
        <v>#REF!</v>
      </c>
      <c r="CD41" s="1" t="e">
        <f>AND(#REF!,"AAAAAH3tulE=")</f>
        <v>#REF!</v>
      </c>
      <c r="CE41" s="1" t="e">
        <f>AND(#REF!,"AAAAAH3tulI=")</f>
        <v>#REF!</v>
      </c>
      <c r="CF41" s="1" t="e">
        <f>AND(#REF!,"AAAAAH3tulM=")</f>
        <v>#REF!</v>
      </c>
      <c r="CG41" s="1" t="e">
        <f>AND(#REF!,"AAAAAH3tulQ=")</f>
        <v>#REF!</v>
      </c>
      <c r="CH41" s="1" t="e">
        <f>AND(#REF!,"AAAAAH3tulU=")</f>
        <v>#REF!</v>
      </c>
      <c r="CI41" s="1" t="e">
        <f>AND(#REF!,"AAAAAH3tulY=")</f>
        <v>#REF!</v>
      </c>
      <c r="CJ41" s="1" t="e">
        <f>AND(#REF!,"AAAAAH3tulc=")</f>
        <v>#REF!</v>
      </c>
      <c r="CK41" s="1" t="e">
        <f>AND(#REF!,"AAAAAH3tulg=")</f>
        <v>#REF!</v>
      </c>
      <c r="CL41" s="1" t="e">
        <f>AND(#REF!,"AAAAAH3tulk=")</f>
        <v>#REF!</v>
      </c>
      <c r="CM41" s="1" t="e">
        <f>AND(#REF!,"AAAAAH3tulo=")</f>
        <v>#REF!</v>
      </c>
      <c r="CN41" s="1" t="e">
        <f>AND(#REF!,"AAAAAH3tuls=")</f>
        <v>#REF!</v>
      </c>
      <c r="CO41" s="1" t="e">
        <f>AND(#REF!,"AAAAAH3tulw=")</f>
        <v>#REF!</v>
      </c>
      <c r="CP41" s="1" t="e">
        <f>AND(#REF!,"AAAAAH3tul0=")</f>
        <v>#REF!</v>
      </c>
      <c r="CQ41" s="1" t="e">
        <f>AND(#REF!,"AAAAAH3tul4=")</f>
        <v>#REF!</v>
      </c>
      <c r="CR41" s="1" t="e">
        <f>AND(#REF!,"AAAAAH3tul8=")</f>
        <v>#REF!</v>
      </c>
      <c r="CS41" s="1" t="e">
        <f>AND(#REF!,"AAAAAH3tumA=")</f>
        <v>#REF!</v>
      </c>
      <c r="CT41" s="1" t="e">
        <f>AND(#REF!,"AAAAAH3tumE=")</f>
        <v>#REF!</v>
      </c>
      <c r="CU41" s="1" t="e">
        <f>AND(#REF!,"AAAAAH3tumI=")</f>
        <v>#REF!</v>
      </c>
      <c r="CV41" s="1" t="e">
        <f>AND(#REF!,"AAAAAH3tumM=")</f>
        <v>#REF!</v>
      </c>
      <c r="CW41" s="1" t="e">
        <f>AND(#REF!,"AAAAAH3tumQ=")</f>
        <v>#REF!</v>
      </c>
      <c r="CX41" s="1" t="e">
        <f>AND(#REF!,"AAAAAH3tumU=")</f>
        <v>#REF!</v>
      </c>
      <c r="CY41" s="1" t="e">
        <f>AND(#REF!,"AAAAAH3tumY=")</f>
        <v>#REF!</v>
      </c>
      <c r="CZ41" s="1" t="e">
        <f>AND(#REF!,"AAAAAH3tumc=")</f>
        <v>#REF!</v>
      </c>
      <c r="DA41" s="1" t="e">
        <f>AND(#REF!,"AAAAAH3tumg=")</f>
        <v>#REF!</v>
      </c>
      <c r="DB41" s="1" t="e">
        <f>AND(#REF!,"AAAAAH3tumk=")</f>
        <v>#REF!</v>
      </c>
      <c r="DC41" s="1" t="e">
        <f>AND(#REF!,"AAAAAH3tumo=")</f>
        <v>#REF!</v>
      </c>
      <c r="DD41" s="1" t="e">
        <f>AND(#REF!,"AAAAAH3tums=")</f>
        <v>#REF!</v>
      </c>
      <c r="DE41" s="1" t="e">
        <f>AND(#REF!,"AAAAAH3tumw=")</f>
        <v>#REF!</v>
      </c>
      <c r="DF41" s="1" t="e">
        <f>AND(#REF!,"AAAAAH3tum0=")</f>
        <v>#REF!</v>
      </c>
      <c r="DG41" s="1" t="e">
        <f>AND(#REF!,"AAAAAH3tum4=")</f>
        <v>#REF!</v>
      </c>
      <c r="DH41" s="1" t="e">
        <f>AND(#REF!,"AAAAAH3tum8=")</f>
        <v>#REF!</v>
      </c>
      <c r="DI41" s="1" t="e">
        <f>AND(#REF!,"AAAAAH3tunA=")</f>
        <v>#REF!</v>
      </c>
      <c r="DJ41" s="1" t="e">
        <f>AND(#REF!,"AAAAAH3tunE=")</f>
        <v>#REF!</v>
      </c>
      <c r="DK41" s="1" t="e">
        <f>IF(#REF!,"AAAAAH3tunI=",0)</f>
        <v>#REF!</v>
      </c>
      <c r="DL41" s="1" t="e">
        <f>AND(#REF!,"AAAAAH3tunM=")</f>
        <v>#REF!</v>
      </c>
      <c r="DM41" s="1" t="e">
        <f>AND(#REF!,"AAAAAH3tunQ=")</f>
        <v>#REF!</v>
      </c>
      <c r="DN41" s="1" t="e">
        <f>AND(#REF!,"AAAAAH3tunU=")</f>
        <v>#REF!</v>
      </c>
      <c r="DO41" s="1" t="e">
        <f>AND(#REF!,"AAAAAH3tunY=")</f>
        <v>#REF!</v>
      </c>
      <c r="DP41" s="1" t="e">
        <f>AND(#REF!,"AAAAAH3tunc=")</f>
        <v>#REF!</v>
      </c>
      <c r="DQ41" s="1" t="e">
        <f>AND(#REF!,"AAAAAH3tung=")</f>
        <v>#REF!</v>
      </c>
      <c r="DR41" s="1" t="e">
        <f>AND(#REF!,"AAAAAH3tunk=")</f>
        <v>#REF!</v>
      </c>
      <c r="DS41" s="1" t="e">
        <f>AND(#REF!,"AAAAAH3tuno=")</f>
        <v>#REF!</v>
      </c>
      <c r="DT41" s="1" t="e">
        <f>AND(#REF!,"AAAAAH3tuns=")</f>
        <v>#REF!</v>
      </c>
      <c r="DU41" s="1" t="e">
        <f>AND(#REF!,"AAAAAH3tunw=")</f>
        <v>#REF!</v>
      </c>
      <c r="DV41" s="1" t="e">
        <f>AND(#REF!,"AAAAAH3tun0=")</f>
        <v>#REF!</v>
      </c>
      <c r="DW41" s="1" t="e">
        <f>AND(#REF!,"AAAAAH3tun4=")</f>
        <v>#REF!</v>
      </c>
      <c r="DX41" s="1" t="e">
        <f>AND(#REF!,"AAAAAH3tun8=")</f>
        <v>#REF!</v>
      </c>
      <c r="DY41" s="1" t="e">
        <f>AND(#REF!,"AAAAAH3tuoA=")</f>
        <v>#REF!</v>
      </c>
      <c r="DZ41" s="1" t="e">
        <f>AND(#REF!,"AAAAAH3tuoE=")</f>
        <v>#REF!</v>
      </c>
      <c r="EA41" s="1" t="e">
        <f>AND(#REF!,"AAAAAH3tuoI=")</f>
        <v>#REF!</v>
      </c>
      <c r="EB41" s="1" t="e">
        <f>AND(#REF!,"AAAAAH3tuoM=")</f>
        <v>#REF!</v>
      </c>
      <c r="EC41" s="1" t="e">
        <f>AND(#REF!,"AAAAAH3tuoQ=")</f>
        <v>#REF!</v>
      </c>
      <c r="ED41" s="1" t="e">
        <f>AND(#REF!,"AAAAAH3tuoU=")</f>
        <v>#REF!</v>
      </c>
      <c r="EE41" s="1" t="e">
        <f>AND(#REF!,"AAAAAH3tuoY=")</f>
        <v>#REF!</v>
      </c>
      <c r="EF41" s="1" t="e">
        <f>AND(#REF!,"AAAAAH3tuoc=")</f>
        <v>#REF!</v>
      </c>
      <c r="EG41" s="1" t="e">
        <f>AND(#REF!,"AAAAAH3tuog=")</f>
        <v>#REF!</v>
      </c>
      <c r="EH41" s="1" t="e">
        <f>AND(#REF!,"AAAAAH3tuok=")</f>
        <v>#REF!</v>
      </c>
      <c r="EI41" s="1" t="e">
        <f>AND(#REF!,"AAAAAH3tuoo=")</f>
        <v>#REF!</v>
      </c>
      <c r="EJ41" s="1" t="e">
        <f>AND(#REF!,"AAAAAH3tuos=")</f>
        <v>#REF!</v>
      </c>
      <c r="EK41" s="1" t="e">
        <f>AND(#REF!,"AAAAAH3tuow=")</f>
        <v>#REF!</v>
      </c>
      <c r="EL41" s="1" t="e">
        <f>AND(#REF!,"AAAAAH3tuo0=")</f>
        <v>#REF!</v>
      </c>
      <c r="EM41" s="1" t="e">
        <f>AND(#REF!,"AAAAAH3tuo4=")</f>
        <v>#REF!</v>
      </c>
      <c r="EN41" s="1" t="e">
        <f>AND(#REF!,"AAAAAH3tuo8=")</f>
        <v>#REF!</v>
      </c>
      <c r="EO41" s="1" t="e">
        <f>AND(#REF!,"AAAAAH3tupA=")</f>
        <v>#REF!</v>
      </c>
      <c r="EP41" s="1" t="e">
        <f>AND(#REF!,"AAAAAH3tupE=")</f>
        <v>#REF!</v>
      </c>
      <c r="EQ41" s="1" t="e">
        <f>AND(#REF!,"AAAAAH3tupI=")</f>
        <v>#REF!</v>
      </c>
      <c r="ER41" s="1" t="e">
        <f>AND(#REF!,"AAAAAH3tupM=")</f>
        <v>#REF!</v>
      </c>
      <c r="ES41" s="1" t="e">
        <f>AND(#REF!,"AAAAAH3tupQ=")</f>
        <v>#REF!</v>
      </c>
      <c r="ET41" s="1" t="e">
        <f>AND(#REF!,"AAAAAH3tupU=")</f>
        <v>#REF!</v>
      </c>
      <c r="EU41" s="1" t="e">
        <f>AND(#REF!,"AAAAAH3tupY=")</f>
        <v>#REF!</v>
      </c>
      <c r="EV41" s="1" t="e">
        <f>AND(#REF!,"AAAAAH3tupc=")</f>
        <v>#REF!</v>
      </c>
      <c r="EW41" s="1" t="e">
        <f>AND(#REF!,"AAAAAH3tupg=")</f>
        <v>#REF!</v>
      </c>
      <c r="EX41" s="1" t="e">
        <f>AND(#REF!,"AAAAAH3tupk=")</f>
        <v>#REF!</v>
      </c>
      <c r="EY41" s="1" t="e">
        <f>AND(#REF!,"AAAAAH3tupo=")</f>
        <v>#REF!</v>
      </c>
      <c r="EZ41" s="1" t="e">
        <f>AND(#REF!,"AAAAAH3tups=")</f>
        <v>#REF!</v>
      </c>
      <c r="FA41" s="1" t="e">
        <f>AND(#REF!,"AAAAAH3tupw=")</f>
        <v>#REF!</v>
      </c>
      <c r="FB41" s="1" t="e">
        <f>AND(#REF!,"AAAAAH3tup0=")</f>
        <v>#REF!</v>
      </c>
      <c r="FC41" s="1" t="e">
        <f>AND(#REF!,"AAAAAH3tup4=")</f>
        <v>#REF!</v>
      </c>
      <c r="FD41" s="1" t="e">
        <f>AND(#REF!,"AAAAAH3tup8=")</f>
        <v>#REF!</v>
      </c>
      <c r="FE41" s="1" t="e">
        <f>AND(#REF!,"AAAAAH3tuqA=")</f>
        <v>#REF!</v>
      </c>
      <c r="FF41" s="1" t="e">
        <f>AND(#REF!,"AAAAAH3tuqE=")</f>
        <v>#REF!</v>
      </c>
      <c r="FG41" s="1" t="e">
        <f>AND(#REF!,"AAAAAH3tuqI=")</f>
        <v>#REF!</v>
      </c>
      <c r="FH41" s="1" t="e">
        <f>AND(#REF!,"AAAAAH3tuqM=")</f>
        <v>#REF!</v>
      </c>
      <c r="FI41" s="1" t="e">
        <f>AND(#REF!,"AAAAAH3tuqQ=")</f>
        <v>#REF!</v>
      </c>
      <c r="FJ41" s="1" t="e">
        <f>AND(#REF!,"AAAAAH3tuqU=")</f>
        <v>#REF!</v>
      </c>
      <c r="FK41" s="1" t="e">
        <f>AND(#REF!,"AAAAAH3tuqY=")</f>
        <v>#REF!</v>
      </c>
      <c r="FL41" s="1" t="e">
        <f>AND(#REF!,"AAAAAH3tuqc=")</f>
        <v>#REF!</v>
      </c>
      <c r="FM41" s="1" t="e">
        <f>AND(#REF!,"AAAAAH3tuqg=")</f>
        <v>#REF!</v>
      </c>
      <c r="FN41" s="1" t="e">
        <f>AND(#REF!,"AAAAAH3tuqk=")</f>
        <v>#REF!</v>
      </c>
      <c r="FO41" s="1" t="e">
        <f>AND(#REF!,"AAAAAH3tuqo=")</f>
        <v>#REF!</v>
      </c>
      <c r="FP41" s="1" t="e">
        <f>AND(#REF!,"AAAAAH3tuqs=")</f>
        <v>#REF!</v>
      </c>
      <c r="FQ41" s="1" t="e">
        <f>AND(#REF!,"AAAAAH3tuqw=")</f>
        <v>#REF!</v>
      </c>
      <c r="FR41" s="1" t="e">
        <f>AND(#REF!,"AAAAAH3tuq0=")</f>
        <v>#REF!</v>
      </c>
      <c r="FS41" s="1" t="e">
        <f>AND(#REF!,"AAAAAH3tuq4=")</f>
        <v>#REF!</v>
      </c>
      <c r="FT41" s="1" t="e">
        <f>AND(#REF!,"AAAAAH3tuq8=")</f>
        <v>#REF!</v>
      </c>
      <c r="FU41" s="1" t="e">
        <f>AND(#REF!,"AAAAAH3turA=")</f>
        <v>#REF!</v>
      </c>
      <c r="FV41" s="1" t="e">
        <f>AND(#REF!,"AAAAAH3turE=")</f>
        <v>#REF!</v>
      </c>
      <c r="FW41" s="1" t="e">
        <f>AND(#REF!,"AAAAAH3turI=")</f>
        <v>#REF!</v>
      </c>
      <c r="FX41" s="1" t="e">
        <f>AND(#REF!,"AAAAAH3turM=")</f>
        <v>#REF!</v>
      </c>
      <c r="FY41" s="1" t="e">
        <f>AND(#REF!,"AAAAAH3turQ=")</f>
        <v>#REF!</v>
      </c>
      <c r="FZ41" s="1" t="e">
        <f>AND(#REF!,"AAAAAH3turU=")</f>
        <v>#REF!</v>
      </c>
      <c r="GA41" s="1" t="e">
        <f>AND(#REF!,"AAAAAH3turY=")</f>
        <v>#REF!</v>
      </c>
      <c r="GB41" s="1" t="e">
        <f>AND(#REF!,"AAAAAH3turc=")</f>
        <v>#REF!</v>
      </c>
      <c r="GC41" s="1" t="e">
        <f>AND(#REF!,"AAAAAH3turg=")</f>
        <v>#REF!</v>
      </c>
      <c r="GD41" s="1" t="e">
        <f>AND(#REF!,"AAAAAH3turk=")</f>
        <v>#REF!</v>
      </c>
      <c r="GE41" s="1" t="e">
        <f>AND(#REF!,"AAAAAH3turo=")</f>
        <v>#REF!</v>
      </c>
      <c r="GF41" s="1" t="e">
        <f>AND(#REF!,"AAAAAH3turs=")</f>
        <v>#REF!</v>
      </c>
      <c r="GG41" s="1" t="e">
        <f>AND(#REF!,"AAAAAH3turw=")</f>
        <v>#REF!</v>
      </c>
      <c r="GH41" s="1" t="e">
        <f>AND(#REF!,"AAAAAH3tur0=")</f>
        <v>#REF!</v>
      </c>
      <c r="GI41" s="1" t="e">
        <f>AND(#REF!,"AAAAAH3tur4=")</f>
        <v>#REF!</v>
      </c>
      <c r="GJ41" s="1" t="e">
        <f>AND(#REF!,"AAAAAH3tur8=")</f>
        <v>#REF!</v>
      </c>
      <c r="GK41" s="1" t="e">
        <f>AND(#REF!,"AAAAAH3tusA=")</f>
        <v>#REF!</v>
      </c>
      <c r="GL41" s="1" t="e">
        <f>AND(#REF!,"AAAAAH3tusE=")</f>
        <v>#REF!</v>
      </c>
      <c r="GM41" s="1" t="e">
        <f>AND(#REF!,"AAAAAH3tusI=")</f>
        <v>#REF!</v>
      </c>
      <c r="GN41" s="1" t="e">
        <f>AND(#REF!,"AAAAAH3tusM=")</f>
        <v>#REF!</v>
      </c>
      <c r="GO41" s="1" t="e">
        <f>AND(#REF!,"AAAAAH3tusQ=")</f>
        <v>#REF!</v>
      </c>
      <c r="GP41" s="1" t="e">
        <f>AND(#REF!,"AAAAAH3tusU=")</f>
        <v>#REF!</v>
      </c>
      <c r="GQ41" s="1" t="e">
        <f>AND(#REF!,"AAAAAH3tusY=")</f>
        <v>#REF!</v>
      </c>
      <c r="GR41" s="1" t="e">
        <f>AND(#REF!,"AAAAAH3tusc=")</f>
        <v>#REF!</v>
      </c>
      <c r="GS41" s="1" t="e">
        <f>AND(#REF!,"AAAAAH3tusg=")</f>
        <v>#REF!</v>
      </c>
      <c r="GT41" s="1" t="e">
        <f>AND(#REF!,"AAAAAH3tusk=")</f>
        <v>#REF!</v>
      </c>
      <c r="GU41" s="1" t="e">
        <f>AND(#REF!,"AAAAAH3tuso=")</f>
        <v>#REF!</v>
      </c>
      <c r="GV41" s="1" t="e">
        <f>AND(#REF!,"AAAAAH3tuss=")</f>
        <v>#REF!</v>
      </c>
      <c r="GW41" s="1" t="e">
        <f>AND(#REF!,"AAAAAH3tusw=")</f>
        <v>#REF!</v>
      </c>
      <c r="GX41" s="1" t="e">
        <f>AND(#REF!,"AAAAAH3tus0=")</f>
        <v>#REF!</v>
      </c>
      <c r="GY41" s="1" t="e">
        <f>AND(#REF!,"AAAAAH3tus4=")</f>
        <v>#REF!</v>
      </c>
      <c r="GZ41" s="1" t="e">
        <f>AND(#REF!,"AAAAAH3tus8=")</f>
        <v>#REF!</v>
      </c>
      <c r="HA41" s="1" t="e">
        <f>AND(#REF!,"AAAAAH3tutA=")</f>
        <v>#REF!</v>
      </c>
      <c r="HB41" s="1" t="e">
        <f>AND(#REF!,"AAAAAH3tutE=")</f>
        <v>#REF!</v>
      </c>
      <c r="HC41" s="1" t="e">
        <f>AND(#REF!,"AAAAAH3tutI=")</f>
        <v>#REF!</v>
      </c>
      <c r="HD41" s="1" t="e">
        <f>AND(#REF!,"AAAAAH3tutM=")</f>
        <v>#REF!</v>
      </c>
      <c r="HE41" s="1" t="e">
        <f>AND(#REF!,"AAAAAH3tutQ=")</f>
        <v>#REF!</v>
      </c>
      <c r="HF41" s="1" t="e">
        <f>AND(#REF!,"AAAAAH3tutU=")</f>
        <v>#REF!</v>
      </c>
      <c r="HG41" s="1" t="e">
        <f>AND(#REF!,"AAAAAH3tutY=")</f>
        <v>#REF!</v>
      </c>
      <c r="HH41" s="1" t="e">
        <f>AND(#REF!,"AAAAAH3tutc=")</f>
        <v>#REF!</v>
      </c>
      <c r="HI41" s="1" t="e">
        <f>AND(#REF!,"AAAAAH3tutg=")</f>
        <v>#REF!</v>
      </c>
      <c r="HJ41" s="1" t="e">
        <f>IF(#REF!,"AAAAAH3tutk=",0)</f>
        <v>#REF!</v>
      </c>
      <c r="HK41" s="1" t="e">
        <f>AND(#REF!,"AAAAAH3tuto=")</f>
        <v>#REF!</v>
      </c>
      <c r="HL41" s="1" t="e">
        <f>AND(#REF!,"AAAAAH3tuts=")</f>
        <v>#REF!</v>
      </c>
      <c r="HM41" s="1" t="e">
        <f>AND(#REF!,"AAAAAH3tutw=")</f>
        <v>#REF!</v>
      </c>
      <c r="HN41" s="1" t="e">
        <f>AND(#REF!,"AAAAAH3tut0=")</f>
        <v>#REF!</v>
      </c>
      <c r="HO41" s="1" t="e">
        <f>AND(#REF!,"AAAAAH3tut4=")</f>
        <v>#REF!</v>
      </c>
      <c r="HP41" s="1" t="e">
        <f>AND(#REF!,"AAAAAH3tut8=")</f>
        <v>#REF!</v>
      </c>
      <c r="HQ41" s="1" t="e">
        <f>AND(#REF!,"AAAAAH3tuuA=")</f>
        <v>#REF!</v>
      </c>
      <c r="HR41" s="1" t="e">
        <f>AND(#REF!,"AAAAAH3tuuE=")</f>
        <v>#REF!</v>
      </c>
      <c r="HS41" s="1" t="e">
        <f>AND(#REF!,"AAAAAH3tuuI=")</f>
        <v>#REF!</v>
      </c>
      <c r="HT41" s="1" t="e">
        <f>AND(#REF!,"AAAAAH3tuuM=")</f>
        <v>#REF!</v>
      </c>
      <c r="HU41" s="1" t="e">
        <f>AND(#REF!,"AAAAAH3tuuQ=")</f>
        <v>#REF!</v>
      </c>
      <c r="HV41" s="1" t="e">
        <f>AND(#REF!,"AAAAAH3tuuU=")</f>
        <v>#REF!</v>
      </c>
      <c r="HW41" s="1" t="e">
        <f>AND(#REF!,"AAAAAH3tuuY=")</f>
        <v>#REF!</v>
      </c>
      <c r="HX41" s="1" t="e">
        <f>AND(#REF!,"AAAAAH3tuuc=")</f>
        <v>#REF!</v>
      </c>
      <c r="HY41" s="1" t="e">
        <f>AND(#REF!,"AAAAAH3tuug=")</f>
        <v>#REF!</v>
      </c>
      <c r="HZ41" s="1" t="e">
        <f>AND(#REF!,"AAAAAH3tuuk=")</f>
        <v>#REF!</v>
      </c>
      <c r="IA41" s="1" t="e">
        <f>AND(#REF!,"AAAAAH3tuuo=")</f>
        <v>#REF!</v>
      </c>
      <c r="IB41" s="1" t="e">
        <f>AND(#REF!,"AAAAAH3tuus=")</f>
        <v>#REF!</v>
      </c>
      <c r="IC41" s="1" t="e">
        <f>AND(#REF!,"AAAAAH3tuuw=")</f>
        <v>#REF!</v>
      </c>
      <c r="ID41" s="1" t="e">
        <f>AND(#REF!,"AAAAAH3tuu0=")</f>
        <v>#REF!</v>
      </c>
      <c r="IE41" s="1" t="e">
        <f>AND(#REF!,"AAAAAH3tuu4=")</f>
        <v>#REF!</v>
      </c>
      <c r="IF41" s="1" t="e">
        <f>AND(#REF!,"AAAAAH3tuu8=")</f>
        <v>#REF!</v>
      </c>
      <c r="IG41" s="1" t="e">
        <f>AND(#REF!,"AAAAAH3tuvA=")</f>
        <v>#REF!</v>
      </c>
      <c r="IH41" s="1" t="e">
        <f>AND(#REF!,"AAAAAH3tuvE=")</f>
        <v>#REF!</v>
      </c>
      <c r="II41" s="1" t="e">
        <f>AND(#REF!,"AAAAAH3tuvI=")</f>
        <v>#REF!</v>
      </c>
      <c r="IJ41" s="1" t="e">
        <f>AND(#REF!,"AAAAAH3tuvM=")</f>
        <v>#REF!</v>
      </c>
      <c r="IK41" s="1" t="e">
        <f>AND(#REF!,"AAAAAH3tuvQ=")</f>
        <v>#REF!</v>
      </c>
      <c r="IL41" s="1" t="e">
        <f>AND(#REF!,"AAAAAH3tuvU=")</f>
        <v>#REF!</v>
      </c>
      <c r="IM41" s="1" t="e">
        <f>AND(#REF!,"AAAAAH3tuvY=")</f>
        <v>#REF!</v>
      </c>
      <c r="IN41" s="1" t="e">
        <f>AND(#REF!,"AAAAAH3tuvc=")</f>
        <v>#REF!</v>
      </c>
      <c r="IO41" s="1" t="e">
        <f>AND(#REF!,"AAAAAH3tuvg=")</f>
        <v>#REF!</v>
      </c>
      <c r="IP41" s="1" t="e">
        <f>AND(#REF!,"AAAAAH3tuvk=")</f>
        <v>#REF!</v>
      </c>
      <c r="IQ41" s="1" t="e">
        <f>AND(#REF!,"AAAAAH3tuvo=")</f>
        <v>#REF!</v>
      </c>
      <c r="IR41" s="1" t="e">
        <f>AND(#REF!,"AAAAAH3tuvs=")</f>
        <v>#REF!</v>
      </c>
      <c r="IS41" s="1" t="e">
        <f>AND(#REF!,"AAAAAH3tuvw=")</f>
        <v>#REF!</v>
      </c>
      <c r="IT41" s="1" t="e">
        <f>AND(#REF!,"AAAAAH3tuv0=")</f>
        <v>#REF!</v>
      </c>
      <c r="IU41" s="1" t="e">
        <f>AND(#REF!,"AAAAAH3tuv4=")</f>
        <v>#REF!</v>
      </c>
      <c r="IV41" s="1" t="e">
        <f>AND(#REF!,"AAAAAH3tuv8=")</f>
        <v>#REF!</v>
      </c>
    </row>
    <row r="42" spans="1:256" ht="15" customHeight="1" x14ac:dyDescent="0.2">
      <c r="A42" s="1" t="e">
        <f>AND(#REF!,"AAAAACte+wA=")</f>
        <v>#REF!</v>
      </c>
      <c r="B42" s="1" t="e">
        <f>AND(#REF!,"AAAAACte+wE=")</f>
        <v>#REF!</v>
      </c>
      <c r="C42" s="1" t="e">
        <f>AND(#REF!,"AAAAACte+wI=")</f>
        <v>#REF!</v>
      </c>
      <c r="D42" s="1" t="e">
        <f>AND(#REF!,"AAAAACte+wM=")</f>
        <v>#REF!</v>
      </c>
      <c r="E42" s="1" t="e">
        <f>AND(#REF!,"AAAAACte+wQ=")</f>
        <v>#REF!</v>
      </c>
      <c r="F42" s="1" t="e">
        <f>AND(#REF!,"AAAAACte+wU=")</f>
        <v>#REF!</v>
      </c>
      <c r="G42" s="1" t="e">
        <f>AND(#REF!,"AAAAACte+wY=")</f>
        <v>#REF!</v>
      </c>
      <c r="H42" s="1" t="e">
        <f>AND(#REF!,"AAAAACte+wc=")</f>
        <v>#REF!</v>
      </c>
      <c r="I42" s="1" t="e">
        <f>AND(#REF!,"AAAAACte+wg=")</f>
        <v>#REF!</v>
      </c>
      <c r="J42" s="1" t="e">
        <f>AND(#REF!,"AAAAACte+wk=")</f>
        <v>#REF!</v>
      </c>
      <c r="K42" s="1" t="e">
        <f>AND(#REF!,"AAAAACte+wo=")</f>
        <v>#REF!</v>
      </c>
      <c r="L42" s="1" t="e">
        <f>AND(#REF!,"AAAAACte+ws=")</f>
        <v>#REF!</v>
      </c>
      <c r="M42" s="1" t="e">
        <f>AND(#REF!,"AAAAACte+ww=")</f>
        <v>#REF!</v>
      </c>
      <c r="N42" s="1" t="e">
        <f>AND(#REF!,"AAAAACte+w0=")</f>
        <v>#REF!</v>
      </c>
      <c r="O42" s="1" t="e">
        <f>AND(#REF!,"AAAAACte+w4=")</f>
        <v>#REF!</v>
      </c>
      <c r="P42" s="1" t="e">
        <f>AND(#REF!,"AAAAACte+w8=")</f>
        <v>#REF!</v>
      </c>
      <c r="Q42" s="1" t="e">
        <f>AND(#REF!,"AAAAACte+xA=")</f>
        <v>#REF!</v>
      </c>
      <c r="R42" s="1" t="e">
        <f>AND(#REF!,"AAAAACte+xE=")</f>
        <v>#REF!</v>
      </c>
      <c r="S42" s="1" t="e">
        <f>AND(#REF!,"AAAAACte+xI=")</f>
        <v>#REF!</v>
      </c>
      <c r="T42" s="1" t="e">
        <f>AND(#REF!,"AAAAACte+xM=")</f>
        <v>#REF!</v>
      </c>
      <c r="U42" s="1" t="e">
        <f>AND(#REF!,"AAAAACte+xQ=")</f>
        <v>#REF!</v>
      </c>
      <c r="V42" s="1" t="e">
        <f>AND(#REF!,"AAAAACte+xU=")</f>
        <v>#REF!</v>
      </c>
      <c r="W42" s="1" t="e">
        <f>AND(#REF!,"AAAAACte+xY=")</f>
        <v>#REF!</v>
      </c>
      <c r="X42" s="1" t="e">
        <f>AND(#REF!,"AAAAACte+xc=")</f>
        <v>#REF!</v>
      </c>
      <c r="Y42" s="1" t="e">
        <f>AND(#REF!,"AAAAACte+xg=")</f>
        <v>#REF!</v>
      </c>
      <c r="Z42" s="1" t="e">
        <f>AND(#REF!,"AAAAACte+xk=")</f>
        <v>#REF!</v>
      </c>
      <c r="AA42" s="1" t="e">
        <f>AND(#REF!,"AAAAACte+xo=")</f>
        <v>#REF!</v>
      </c>
      <c r="AB42" s="1" t="e">
        <f>AND(#REF!,"AAAAACte+xs=")</f>
        <v>#REF!</v>
      </c>
      <c r="AC42" s="1" t="e">
        <f>AND(#REF!,"AAAAACte+xw=")</f>
        <v>#REF!</v>
      </c>
      <c r="AD42" s="1" t="e">
        <f>AND(#REF!,"AAAAACte+x0=")</f>
        <v>#REF!</v>
      </c>
      <c r="AE42" s="1" t="e">
        <f>AND(#REF!,"AAAAACte+x4=")</f>
        <v>#REF!</v>
      </c>
      <c r="AF42" s="1" t="e">
        <f>AND(#REF!,"AAAAACte+x8=")</f>
        <v>#REF!</v>
      </c>
      <c r="AG42" s="1" t="e">
        <f>AND(#REF!,"AAAAACte+yA=")</f>
        <v>#REF!</v>
      </c>
      <c r="AH42" s="1" t="e">
        <f>AND(#REF!,"AAAAACte+yE=")</f>
        <v>#REF!</v>
      </c>
      <c r="AI42" s="1" t="e">
        <f>AND(#REF!,"AAAAACte+yI=")</f>
        <v>#REF!</v>
      </c>
      <c r="AJ42" s="1" t="e">
        <f>AND(#REF!,"AAAAACte+yM=")</f>
        <v>#REF!</v>
      </c>
      <c r="AK42" s="1" t="e">
        <f>AND(#REF!,"AAAAACte+yQ=")</f>
        <v>#REF!</v>
      </c>
      <c r="AL42" s="1" t="e">
        <f>AND(#REF!,"AAAAACte+yU=")</f>
        <v>#REF!</v>
      </c>
      <c r="AM42" s="1" t="e">
        <f>AND(#REF!,"AAAAACte+yY=")</f>
        <v>#REF!</v>
      </c>
      <c r="AN42" s="1" t="e">
        <f>AND(#REF!,"AAAAACte+yc=")</f>
        <v>#REF!</v>
      </c>
      <c r="AO42" s="1" t="e">
        <f>AND(#REF!,"AAAAACte+yg=")</f>
        <v>#REF!</v>
      </c>
      <c r="AP42" s="1" t="e">
        <f>AND(#REF!,"AAAAACte+yk=")</f>
        <v>#REF!</v>
      </c>
      <c r="AQ42" s="1" t="e">
        <f>AND(#REF!,"AAAAACte+yo=")</f>
        <v>#REF!</v>
      </c>
      <c r="AR42" s="1" t="e">
        <f>AND(#REF!,"AAAAACte+ys=")</f>
        <v>#REF!</v>
      </c>
      <c r="AS42" s="1" t="e">
        <f>AND(#REF!,"AAAAACte+yw=")</f>
        <v>#REF!</v>
      </c>
      <c r="AT42" s="1" t="e">
        <f>AND(#REF!,"AAAAACte+y0=")</f>
        <v>#REF!</v>
      </c>
      <c r="AU42" s="1" t="e">
        <f>AND(#REF!,"AAAAACte+y4=")</f>
        <v>#REF!</v>
      </c>
      <c r="AV42" s="1" t="e">
        <f>AND(#REF!,"AAAAACte+y8=")</f>
        <v>#REF!</v>
      </c>
      <c r="AW42" s="1" t="e">
        <f>AND(#REF!,"AAAAACte+zA=")</f>
        <v>#REF!</v>
      </c>
      <c r="AX42" s="1" t="e">
        <f>AND(#REF!,"AAAAACte+zE=")</f>
        <v>#REF!</v>
      </c>
      <c r="AY42" s="1" t="e">
        <f>AND(#REF!,"AAAAACte+zI=")</f>
        <v>#REF!</v>
      </c>
      <c r="AZ42" s="1" t="e">
        <f>AND(#REF!,"AAAAACte+zM=")</f>
        <v>#REF!</v>
      </c>
      <c r="BA42" s="1" t="e">
        <f>AND(#REF!,"AAAAACte+zQ=")</f>
        <v>#REF!</v>
      </c>
      <c r="BB42" s="1" t="e">
        <f>AND(#REF!,"AAAAACte+zU=")</f>
        <v>#REF!</v>
      </c>
      <c r="BC42" s="1" t="e">
        <f>AND(#REF!,"AAAAACte+zY=")</f>
        <v>#REF!</v>
      </c>
      <c r="BD42" s="1" t="e">
        <f>AND(#REF!,"AAAAACte+zc=")</f>
        <v>#REF!</v>
      </c>
      <c r="BE42" s="1" t="e">
        <f>AND(#REF!,"AAAAACte+zg=")</f>
        <v>#REF!</v>
      </c>
      <c r="BF42" s="1" t="e">
        <f>AND(#REF!,"AAAAACte+zk=")</f>
        <v>#REF!</v>
      </c>
      <c r="BG42" s="1" t="e">
        <f>AND(#REF!,"AAAAACte+zo=")</f>
        <v>#REF!</v>
      </c>
      <c r="BH42" s="1" t="e">
        <f>AND(#REF!,"AAAAACte+zs=")</f>
        <v>#REF!</v>
      </c>
      <c r="BI42" s="1" t="e">
        <f>AND(#REF!,"AAAAACte+zw=")</f>
        <v>#REF!</v>
      </c>
      <c r="BJ42" s="1" t="e">
        <f>AND(#REF!,"AAAAACte+z0=")</f>
        <v>#REF!</v>
      </c>
      <c r="BK42" s="1" t="e">
        <f>AND(#REF!,"AAAAACte+z4=")</f>
        <v>#REF!</v>
      </c>
      <c r="BL42" s="1" t="e">
        <f>AND(#REF!,"AAAAACte+z8=")</f>
        <v>#REF!</v>
      </c>
      <c r="BM42" s="1" t="e">
        <f>IF(#REF!,"AAAAACte+0A=",0)</f>
        <v>#REF!</v>
      </c>
      <c r="BN42" s="1" t="e">
        <f>AND(#REF!,"AAAAACte+0E=")</f>
        <v>#REF!</v>
      </c>
      <c r="BO42" s="1" t="e">
        <f>AND(#REF!,"AAAAACte+0I=")</f>
        <v>#REF!</v>
      </c>
      <c r="BP42" s="1" t="e">
        <f>AND(#REF!,"AAAAACte+0M=")</f>
        <v>#REF!</v>
      </c>
      <c r="BQ42" s="1" t="e">
        <f>AND(#REF!,"AAAAACte+0Q=")</f>
        <v>#REF!</v>
      </c>
      <c r="BR42" s="1" t="e">
        <f>AND(#REF!,"AAAAACte+0U=")</f>
        <v>#REF!</v>
      </c>
      <c r="BS42" s="1" t="e">
        <f>AND(#REF!,"AAAAACte+0Y=")</f>
        <v>#REF!</v>
      </c>
      <c r="BT42" s="1" t="e">
        <f>AND(#REF!,"AAAAACte+0c=")</f>
        <v>#REF!</v>
      </c>
      <c r="BU42" s="1" t="e">
        <f>AND(#REF!,"AAAAACte+0g=")</f>
        <v>#REF!</v>
      </c>
      <c r="BV42" s="1" t="e">
        <f>AND(#REF!,"AAAAACte+0k=")</f>
        <v>#REF!</v>
      </c>
      <c r="BW42" s="1" t="e">
        <f>AND(#REF!,"AAAAACte+0o=")</f>
        <v>#REF!</v>
      </c>
      <c r="BX42" s="1" t="e">
        <f>AND(#REF!,"AAAAACte+0s=")</f>
        <v>#REF!</v>
      </c>
      <c r="BY42" s="1" t="e">
        <f>AND(#REF!,"AAAAACte+0w=")</f>
        <v>#REF!</v>
      </c>
      <c r="BZ42" s="1" t="e">
        <f>AND(#REF!,"AAAAACte+00=")</f>
        <v>#REF!</v>
      </c>
      <c r="CA42" s="1" t="e">
        <f>AND(#REF!,"AAAAACte+04=")</f>
        <v>#REF!</v>
      </c>
      <c r="CB42" s="1" t="e">
        <f>AND(#REF!,"AAAAACte+08=")</f>
        <v>#REF!</v>
      </c>
      <c r="CC42" s="1" t="e">
        <f>AND(#REF!,"AAAAACte+1A=")</f>
        <v>#REF!</v>
      </c>
      <c r="CD42" s="1" t="e">
        <f>AND(#REF!,"AAAAACte+1E=")</f>
        <v>#REF!</v>
      </c>
      <c r="CE42" s="1" t="e">
        <f>AND(#REF!,"AAAAACte+1I=")</f>
        <v>#REF!</v>
      </c>
      <c r="CF42" s="1" t="e">
        <f>AND(#REF!,"AAAAACte+1M=")</f>
        <v>#REF!</v>
      </c>
      <c r="CG42" s="1" t="e">
        <f>AND(#REF!,"AAAAACte+1Q=")</f>
        <v>#REF!</v>
      </c>
      <c r="CH42" s="1" t="e">
        <f>AND(#REF!,"AAAAACte+1U=")</f>
        <v>#REF!</v>
      </c>
      <c r="CI42" s="1" t="e">
        <f>AND(#REF!,"AAAAACte+1Y=")</f>
        <v>#REF!</v>
      </c>
      <c r="CJ42" s="1" t="e">
        <f>AND(#REF!,"AAAAACte+1c=")</f>
        <v>#REF!</v>
      </c>
      <c r="CK42" s="1" t="e">
        <f>AND(#REF!,"AAAAACte+1g=")</f>
        <v>#REF!</v>
      </c>
      <c r="CL42" s="1" t="e">
        <f>AND(#REF!,"AAAAACte+1k=")</f>
        <v>#REF!</v>
      </c>
      <c r="CM42" s="1" t="e">
        <f>AND(#REF!,"AAAAACte+1o=")</f>
        <v>#REF!</v>
      </c>
      <c r="CN42" s="1" t="e">
        <f>AND(#REF!,"AAAAACte+1s=")</f>
        <v>#REF!</v>
      </c>
      <c r="CO42" s="1" t="e">
        <f>AND(#REF!,"AAAAACte+1w=")</f>
        <v>#REF!</v>
      </c>
      <c r="CP42" s="1" t="e">
        <f>AND(#REF!,"AAAAACte+10=")</f>
        <v>#REF!</v>
      </c>
      <c r="CQ42" s="1" t="e">
        <f>AND(#REF!,"AAAAACte+14=")</f>
        <v>#REF!</v>
      </c>
      <c r="CR42" s="1" t="e">
        <f>AND(#REF!,"AAAAACte+18=")</f>
        <v>#REF!</v>
      </c>
      <c r="CS42" s="1" t="e">
        <f>AND(#REF!,"AAAAACte+2A=")</f>
        <v>#REF!</v>
      </c>
      <c r="CT42" s="1" t="e">
        <f>AND(#REF!,"AAAAACte+2E=")</f>
        <v>#REF!</v>
      </c>
      <c r="CU42" s="1" t="e">
        <f>AND(#REF!,"AAAAACte+2I=")</f>
        <v>#REF!</v>
      </c>
      <c r="CV42" s="1" t="e">
        <f>AND(#REF!,"AAAAACte+2M=")</f>
        <v>#REF!</v>
      </c>
      <c r="CW42" s="1" t="e">
        <f>AND(#REF!,"AAAAACte+2Q=")</f>
        <v>#REF!</v>
      </c>
      <c r="CX42" s="1" t="e">
        <f>AND(#REF!,"AAAAACte+2U=")</f>
        <v>#REF!</v>
      </c>
      <c r="CY42" s="1" t="e">
        <f>AND(#REF!,"AAAAACte+2Y=")</f>
        <v>#REF!</v>
      </c>
      <c r="CZ42" s="1" t="e">
        <f>AND(#REF!,"AAAAACte+2c=")</f>
        <v>#REF!</v>
      </c>
      <c r="DA42" s="1" t="e">
        <f>AND(#REF!,"AAAAACte+2g=")</f>
        <v>#REF!</v>
      </c>
      <c r="DB42" s="1" t="e">
        <f>AND(#REF!,"AAAAACte+2k=")</f>
        <v>#REF!</v>
      </c>
      <c r="DC42" s="1" t="e">
        <f>AND(#REF!,"AAAAACte+2o=")</f>
        <v>#REF!</v>
      </c>
      <c r="DD42" s="1" t="e">
        <f>AND(#REF!,"AAAAACte+2s=")</f>
        <v>#REF!</v>
      </c>
      <c r="DE42" s="1" t="e">
        <f>AND(#REF!,"AAAAACte+2w=")</f>
        <v>#REF!</v>
      </c>
      <c r="DF42" s="1" t="e">
        <f>AND(#REF!,"AAAAACte+20=")</f>
        <v>#REF!</v>
      </c>
      <c r="DG42" s="1" t="e">
        <f>AND(#REF!,"AAAAACte+24=")</f>
        <v>#REF!</v>
      </c>
      <c r="DH42" s="1" t="e">
        <f>AND(#REF!,"AAAAACte+28=")</f>
        <v>#REF!</v>
      </c>
      <c r="DI42" s="1" t="e">
        <f>AND(#REF!,"AAAAACte+3A=")</f>
        <v>#REF!</v>
      </c>
      <c r="DJ42" s="1" t="e">
        <f>AND(#REF!,"AAAAACte+3E=")</f>
        <v>#REF!</v>
      </c>
      <c r="DK42" s="1" t="e">
        <f>AND(#REF!,"AAAAACte+3I=")</f>
        <v>#REF!</v>
      </c>
      <c r="DL42" s="1" t="e">
        <f>AND(#REF!,"AAAAACte+3M=")</f>
        <v>#REF!</v>
      </c>
      <c r="DM42" s="1" t="e">
        <f>AND(#REF!,"AAAAACte+3Q=")</f>
        <v>#REF!</v>
      </c>
      <c r="DN42" s="1" t="e">
        <f>AND(#REF!,"AAAAACte+3U=")</f>
        <v>#REF!</v>
      </c>
      <c r="DO42" s="1" t="e">
        <f>AND(#REF!,"AAAAACte+3Y=")</f>
        <v>#REF!</v>
      </c>
      <c r="DP42" s="1" t="e">
        <f>AND(#REF!,"AAAAACte+3c=")</f>
        <v>#REF!</v>
      </c>
      <c r="DQ42" s="1" t="e">
        <f>AND(#REF!,"AAAAACte+3g=")</f>
        <v>#REF!</v>
      </c>
      <c r="DR42" s="1" t="e">
        <f>AND(#REF!,"AAAAACte+3k=")</f>
        <v>#REF!</v>
      </c>
      <c r="DS42" s="1" t="e">
        <f>AND(#REF!,"AAAAACte+3o=")</f>
        <v>#REF!</v>
      </c>
      <c r="DT42" s="1" t="e">
        <f>AND(#REF!,"AAAAACte+3s=")</f>
        <v>#REF!</v>
      </c>
      <c r="DU42" s="1" t="e">
        <f>AND(#REF!,"AAAAACte+3w=")</f>
        <v>#REF!</v>
      </c>
      <c r="DV42" s="1" t="e">
        <f>AND(#REF!,"AAAAACte+30=")</f>
        <v>#REF!</v>
      </c>
      <c r="DW42" s="1" t="e">
        <f>AND(#REF!,"AAAAACte+34=")</f>
        <v>#REF!</v>
      </c>
      <c r="DX42" s="1" t="e">
        <f>AND(#REF!,"AAAAACte+38=")</f>
        <v>#REF!</v>
      </c>
      <c r="DY42" s="1" t="e">
        <f>AND(#REF!,"AAAAACte+4A=")</f>
        <v>#REF!</v>
      </c>
      <c r="DZ42" s="1" t="e">
        <f>AND(#REF!,"AAAAACte+4E=")</f>
        <v>#REF!</v>
      </c>
      <c r="EA42" s="1" t="e">
        <f>AND(#REF!,"AAAAACte+4I=")</f>
        <v>#REF!</v>
      </c>
      <c r="EB42" s="1" t="e">
        <f>AND(#REF!,"AAAAACte+4M=")</f>
        <v>#REF!</v>
      </c>
      <c r="EC42" s="1" t="e">
        <f>AND(#REF!,"AAAAACte+4Q=")</f>
        <v>#REF!</v>
      </c>
      <c r="ED42" s="1" t="e">
        <f>AND(#REF!,"AAAAACte+4U=")</f>
        <v>#REF!</v>
      </c>
      <c r="EE42" s="1" t="e">
        <f>AND(#REF!,"AAAAACte+4Y=")</f>
        <v>#REF!</v>
      </c>
      <c r="EF42" s="1" t="e">
        <f>AND(#REF!,"AAAAACte+4c=")</f>
        <v>#REF!</v>
      </c>
      <c r="EG42" s="1" t="e">
        <f>AND(#REF!,"AAAAACte+4g=")</f>
        <v>#REF!</v>
      </c>
      <c r="EH42" s="1" t="e">
        <f>AND(#REF!,"AAAAACte+4k=")</f>
        <v>#REF!</v>
      </c>
      <c r="EI42" s="1" t="e">
        <f>AND(#REF!,"AAAAACte+4o=")</f>
        <v>#REF!</v>
      </c>
      <c r="EJ42" s="1" t="e">
        <f>AND(#REF!,"AAAAACte+4s=")</f>
        <v>#REF!</v>
      </c>
      <c r="EK42" s="1" t="e">
        <f>AND(#REF!,"AAAAACte+4w=")</f>
        <v>#REF!</v>
      </c>
      <c r="EL42" s="1" t="e">
        <f>AND(#REF!,"AAAAACte+40=")</f>
        <v>#REF!</v>
      </c>
      <c r="EM42" s="1" t="e">
        <f>AND(#REF!,"AAAAACte+44=")</f>
        <v>#REF!</v>
      </c>
      <c r="EN42" s="1" t="e">
        <f>AND(#REF!,"AAAAACte+48=")</f>
        <v>#REF!</v>
      </c>
      <c r="EO42" s="1" t="e">
        <f>AND(#REF!,"AAAAACte+5A=")</f>
        <v>#REF!</v>
      </c>
      <c r="EP42" s="1" t="e">
        <f>AND(#REF!,"AAAAACte+5E=")</f>
        <v>#REF!</v>
      </c>
      <c r="EQ42" s="1" t="e">
        <f>AND(#REF!,"AAAAACte+5I=")</f>
        <v>#REF!</v>
      </c>
      <c r="ER42" s="1" t="e">
        <f>AND(#REF!,"AAAAACte+5M=")</f>
        <v>#REF!</v>
      </c>
      <c r="ES42" s="1" t="e">
        <f>AND(#REF!,"AAAAACte+5Q=")</f>
        <v>#REF!</v>
      </c>
      <c r="ET42" s="1" t="e">
        <f>AND(#REF!,"AAAAACte+5U=")</f>
        <v>#REF!</v>
      </c>
      <c r="EU42" s="1" t="e">
        <f>AND(#REF!,"AAAAACte+5Y=")</f>
        <v>#REF!</v>
      </c>
      <c r="EV42" s="1" t="e">
        <f>AND(#REF!,"AAAAACte+5c=")</f>
        <v>#REF!</v>
      </c>
      <c r="EW42" s="1" t="e">
        <f>AND(#REF!,"AAAAACte+5g=")</f>
        <v>#REF!</v>
      </c>
      <c r="EX42" s="1" t="e">
        <f>AND(#REF!,"AAAAACte+5k=")</f>
        <v>#REF!</v>
      </c>
      <c r="EY42" s="1" t="e">
        <f>AND(#REF!,"AAAAACte+5o=")</f>
        <v>#REF!</v>
      </c>
      <c r="EZ42" s="1" t="e">
        <f>AND(#REF!,"AAAAACte+5s=")</f>
        <v>#REF!</v>
      </c>
      <c r="FA42" s="1" t="e">
        <f>AND(#REF!,"AAAAACte+5w=")</f>
        <v>#REF!</v>
      </c>
      <c r="FB42" s="1" t="e">
        <f>AND(#REF!,"AAAAACte+50=")</f>
        <v>#REF!</v>
      </c>
      <c r="FC42" s="1" t="e">
        <f>AND(#REF!,"AAAAACte+54=")</f>
        <v>#REF!</v>
      </c>
      <c r="FD42" s="1" t="e">
        <f>AND(#REF!,"AAAAACte+58=")</f>
        <v>#REF!</v>
      </c>
      <c r="FE42" s="1" t="e">
        <f>AND(#REF!,"AAAAACte+6A=")</f>
        <v>#REF!</v>
      </c>
      <c r="FF42" s="1" t="e">
        <f>AND(#REF!,"AAAAACte+6E=")</f>
        <v>#REF!</v>
      </c>
      <c r="FG42" s="1" t="e">
        <f>AND(#REF!,"AAAAACte+6I=")</f>
        <v>#REF!</v>
      </c>
      <c r="FH42" s="1" t="e">
        <f>AND(#REF!,"AAAAACte+6M=")</f>
        <v>#REF!</v>
      </c>
      <c r="FI42" s="1" t="e">
        <f>AND(#REF!,"AAAAACte+6Q=")</f>
        <v>#REF!</v>
      </c>
      <c r="FJ42" s="1" t="e">
        <f>AND(#REF!,"AAAAACte+6U=")</f>
        <v>#REF!</v>
      </c>
      <c r="FK42" s="1" t="e">
        <f>AND(#REF!,"AAAAACte+6Y=")</f>
        <v>#REF!</v>
      </c>
      <c r="FL42" s="1" t="e">
        <f>IF(#REF!,"AAAAACte+6c=",0)</f>
        <v>#REF!</v>
      </c>
      <c r="FM42" s="1" t="e">
        <f>AND(#REF!,"AAAAACte+6g=")</f>
        <v>#REF!</v>
      </c>
      <c r="FN42" s="1" t="e">
        <f>AND(#REF!,"AAAAACte+6k=")</f>
        <v>#REF!</v>
      </c>
      <c r="FO42" s="1" t="e">
        <f>AND(#REF!,"AAAAACte+6o=")</f>
        <v>#REF!</v>
      </c>
      <c r="FP42" s="1" t="e">
        <f>AND(#REF!,"AAAAACte+6s=")</f>
        <v>#REF!</v>
      </c>
      <c r="FQ42" s="1" t="e">
        <f>AND(#REF!,"AAAAACte+6w=")</f>
        <v>#REF!</v>
      </c>
      <c r="FR42" s="1" t="e">
        <f>AND(#REF!,"AAAAACte+60=")</f>
        <v>#REF!</v>
      </c>
      <c r="FS42" s="1" t="e">
        <f>AND(#REF!,"AAAAACte+64=")</f>
        <v>#REF!</v>
      </c>
      <c r="FT42" s="1" t="e">
        <f>AND(#REF!,"AAAAACte+68=")</f>
        <v>#REF!</v>
      </c>
      <c r="FU42" s="1" t="e">
        <f>AND(#REF!,"AAAAACte+7A=")</f>
        <v>#REF!</v>
      </c>
      <c r="FV42" s="1" t="e">
        <f>AND(#REF!,"AAAAACte+7E=")</f>
        <v>#REF!</v>
      </c>
      <c r="FW42" s="1" t="e">
        <f>AND(#REF!,"AAAAACte+7I=")</f>
        <v>#REF!</v>
      </c>
      <c r="FX42" s="1" t="e">
        <f>AND(#REF!,"AAAAACte+7M=")</f>
        <v>#REF!</v>
      </c>
      <c r="FY42" s="1" t="e">
        <f>AND(#REF!,"AAAAACte+7Q=")</f>
        <v>#REF!</v>
      </c>
      <c r="FZ42" s="1" t="e">
        <f>AND(#REF!,"AAAAACte+7U=")</f>
        <v>#REF!</v>
      </c>
      <c r="GA42" s="1" t="e">
        <f>AND(#REF!,"AAAAACte+7Y=")</f>
        <v>#REF!</v>
      </c>
      <c r="GB42" s="1" t="e">
        <f>AND(#REF!,"AAAAACte+7c=")</f>
        <v>#REF!</v>
      </c>
      <c r="GC42" s="1" t="e">
        <f>AND(#REF!,"AAAAACte+7g=")</f>
        <v>#REF!</v>
      </c>
      <c r="GD42" s="1" t="e">
        <f>AND(#REF!,"AAAAACte+7k=")</f>
        <v>#REF!</v>
      </c>
      <c r="GE42" s="1" t="e">
        <f>AND(#REF!,"AAAAACte+7o=")</f>
        <v>#REF!</v>
      </c>
      <c r="GF42" s="1" t="e">
        <f>AND(#REF!,"AAAAACte+7s=")</f>
        <v>#REF!</v>
      </c>
      <c r="GG42" s="1" t="e">
        <f>AND(#REF!,"AAAAACte+7w=")</f>
        <v>#REF!</v>
      </c>
      <c r="GH42" s="1" t="e">
        <f>AND(#REF!,"AAAAACte+70=")</f>
        <v>#REF!</v>
      </c>
      <c r="GI42" s="1" t="e">
        <f>AND(#REF!,"AAAAACte+74=")</f>
        <v>#REF!</v>
      </c>
      <c r="GJ42" s="1" t="e">
        <f>AND(#REF!,"AAAAACte+78=")</f>
        <v>#REF!</v>
      </c>
      <c r="GK42" s="1" t="e">
        <f>AND(#REF!,"AAAAACte+8A=")</f>
        <v>#REF!</v>
      </c>
      <c r="GL42" s="1" t="e">
        <f>AND(#REF!,"AAAAACte+8E=")</f>
        <v>#REF!</v>
      </c>
      <c r="GM42" s="1" t="e">
        <f>AND(#REF!,"AAAAACte+8I=")</f>
        <v>#REF!</v>
      </c>
      <c r="GN42" s="1" t="e">
        <f>AND(#REF!,"AAAAACte+8M=")</f>
        <v>#REF!</v>
      </c>
      <c r="GO42" s="1" t="e">
        <f>AND(#REF!,"AAAAACte+8Q=")</f>
        <v>#REF!</v>
      </c>
      <c r="GP42" s="1" t="e">
        <f>AND(#REF!,"AAAAACte+8U=")</f>
        <v>#REF!</v>
      </c>
      <c r="GQ42" s="1" t="e">
        <f>AND(#REF!,"AAAAACte+8Y=")</f>
        <v>#REF!</v>
      </c>
      <c r="GR42" s="1" t="e">
        <f>AND(#REF!,"AAAAACte+8c=")</f>
        <v>#REF!</v>
      </c>
      <c r="GS42" s="1" t="e">
        <f>AND(#REF!,"AAAAACte+8g=")</f>
        <v>#REF!</v>
      </c>
      <c r="GT42" s="1" t="e">
        <f>AND(#REF!,"AAAAACte+8k=")</f>
        <v>#REF!</v>
      </c>
      <c r="GU42" s="1" t="e">
        <f>AND(#REF!,"AAAAACte+8o=")</f>
        <v>#REF!</v>
      </c>
      <c r="GV42" s="1" t="e">
        <f>AND(#REF!,"AAAAACte+8s=")</f>
        <v>#REF!</v>
      </c>
      <c r="GW42" s="1" t="e">
        <f>AND(#REF!,"AAAAACte+8w=")</f>
        <v>#REF!</v>
      </c>
      <c r="GX42" s="1" t="e">
        <f>AND(#REF!,"AAAAACte+80=")</f>
        <v>#REF!</v>
      </c>
      <c r="GY42" s="1" t="e">
        <f>AND(#REF!,"AAAAACte+84=")</f>
        <v>#REF!</v>
      </c>
      <c r="GZ42" s="1" t="e">
        <f>AND(#REF!,"AAAAACte+88=")</f>
        <v>#REF!</v>
      </c>
      <c r="HA42" s="1" t="e">
        <f>AND(#REF!,"AAAAACte+9A=")</f>
        <v>#REF!</v>
      </c>
      <c r="HB42" s="1" t="e">
        <f>AND(#REF!,"AAAAACte+9E=")</f>
        <v>#REF!</v>
      </c>
      <c r="HC42" s="1" t="e">
        <f>AND(#REF!,"AAAAACte+9I=")</f>
        <v>#REF!</v>
      </c>
      <c r="HD42" s="1" t="e">
        <f>AND(#REF!,"AAAAACte+9M=")</f>
        <v>#REF!</v>
      </c>
      <c r="HE42" s="1" t="e">
        <f>AND(#REF!,"AAAAACte+9Q=")</f>
        <v>#REF!</v>
      </c>
      <c r="HF42" s="1" t="e">
        <f>AND(#REF!,"AAAAACte+9U=")</f>
        <v>#REF!</v>
      </c>
      <c r="HG42" s="1" t="e">
        <f>AND(#REF!,"AAAAACte+9Y=")</f>
        <v>#REF!</v>
      </c>
      <c r="HH42" s="1" t="e">
        <f>AND(#REF!,"AAAAACte+9c=")</f>
        <v>#REF!</v>
      </c>
      <c r="HI42" s="1" t="e">
        <f>AND(#REF!,"AAAAACte+9g=")</f>
        <v>#REF!</v>
      </c>
      <c r="HJ42" s="1" t="e">
        <f>AND(#REF!,"AAAAACte+9k=")</f>
        <v>#REF!</v>
      </c>
      <c r="HK42" s="1" t="e">
        <f>AND(#REF!,"AAAAACte+9o=")</f>
        <v>#REF!</v>
      </c>
      <c r="HL42" s="1" t="e">
        <f>AND(#REF!,"AAAAACte+9s=")</f>
        <v>#REF!</v>
      </c>
      <c r="HM42" s="1" t="e">
        <f>AND(#REF!,"AAAAACte+9w=")</f>
        <v>#REF!</v>
      </c>
      <c r="HN42" s="1" t="e">
        <f>AND(#REF!,"AAAAACte+90=")</f>
        <v>#REF!</v>
      </c>
      <c r="HO42" s="1" t="e">
        <f>AND(#REF!,"AAAAACte+94=")</f>
        <v>#REF!</v>
      </c>
      <c r="HP42" s="1" t="e">
        <f>AND(#REF!,"AAAAACte+98=")</f>
        <v>#REF!</v>
      </c>
      <c r="HQ42" s="1" t="e">
        <f>AND(#REF!,"AAAAACte++A=")</f>
        <v>#REF!</v>
      </c>
      <c r="HR42" s="1" t="e">
        <f>AND(#REF!,"AAAAACte++E=")</f>
        <v>#REF!</v>
      </c>
      <c r="HS42" s="1" t="e">
        <f>AND(#REF!,"AAAAACte++I=")</f>
        <v>#REF!</v>
      </c>
      <c r="HT42" s="1" t="e">
        <f>AND(#REF!,"AAAAACte++M=")</f>
        <v>#REF!</v>
      </c>
      <c r="HU42" s="1" t="e">
        <f>AND(#REF!,"AAAAACte++Q=")</f>
        <v>#REF!</v>
      </c>
      <c r="HV42" s="1" t="e">
        <f>AND(#REF!,"AAAAACte++U=")</f>
        <v>#REF!</v>
      </c>
      <c r="HW42" s="1" t="e">
        <f>AND(#REF!,"AAAAACte++Y=")</f>
        <v>#REF!</v>
      </c>
      <c r="HX42" s="1" t="e">
        <f>AND(#REF!,"AAAAACte++c=")</f>
        <v>#REF!</v>
      </c>
      <c r="HY42" s="1" t="e">
        <f>AND(#REF!,"AAAAACte++g=")</f>
        <v>#REF!</v>
      </c>
      <c r="HZ42" s="1" t="e">
        <f>AND(#REF!,"AAAAACte++k=")</f>
        <v>#REF!</v>
      </c>
      <c r="IA42" s="1" t="e">
        <f>AND(#REF!,"AAAAACte++o=")</f>
        <v>#REF!</v>
      </c>
      <c r="IB42" s="1" t="e">
        <f>AND(#REF!,"AAAAACte++s=")</f>
        <v>#REF!</v>
      </c>
      <c r="IC42" s="1" t="e">
        <f>AND(#REF!,"AAAAACte++w=")</f>
        <v>#REF!</v>
      </c>
      <c r="ID42" s="1" t="e">
        <f>AND(#REF!,"AAAAACte++0=")</f>
        <v>#REF!</v>
      </c>
      <c r="IE42" s="1" t="e">
        <f>AND(#REF!,"AAAAACte++4=")</f>
        <v>#REF!</v>
      </c>
      <c r="IF42" s="1" t="e">
        <f>AND(#REF!,"AAAAACte++8=")</f>
        <v>#REF!</v>
      </c>
      <c r="IG42" s="1" t="e">
        <f>AND(#REF!,"AAAAACte+/A=")</f>
        <v>#REF!</v>
      </c>
      <c r="IH42" s="1" t="e">
        <f>AND(#REF!,"AAAAACte+/E=")</f>
        <v>#REF!</v>
      </c>
      <c r="II42" s="1" t="e">
        <f>AND(#REF!,"AAAAACte+/I=")</f>
        <v>#REF!</v>
      </c>
      <c r="IJ42" s="1" t="e">
        <f>AND(#REF!,"AAAAACte+/M=")</f>
        <v>#REF!</v>
      </c>
      <c r="IK42" s="1" t="e">
        <f>AND(#REF!,"AAAAACte+/Q=")</f>
        <v>#REF!</v>
      </c>
      <c r="IL42" s="1" t="e">
        <f>AND(#REF!,"AAAAACte+/U=")</f>
        <v>#REF!</v>
      </c>
      <c r="IM42" s="1" t="e">
        <f>AND(#REF!,"AAAAACte+/Y=")</f>
        <v>#REF!</v>
      </c>
      <c r="IN42" s="1" t="e">
        <f>AND(#REF!,"AAAAACte+/c=")</f>
        <v>#REF!</v>
      </c>
      <c r="IO42" s="1" t="e">
        <f>AND(#REF!,"AAAAACte+/g=")</f>
        <v>#REF!</v>
      </c>
      <c r="IP42" s="1" t="e">
        <f>AND(#REF!,"AAAAACte+/k=")</f>
        <v>#REF!</v>
      </c>
      <c r="IQ42" s="1" t="e">
        <f>AND(#REF!,"AAAAACte+/o=")</f>
        <v>#REF!</v>
      </c>
      <c r="IR42" s="1" t="e">
        <f>AND(#REF!,"AAAAACte+/s=")</f>
        <v>#REF!</v>
      </c>
      <c r="IS42" s="1" t="e">
        <f>AND(#REF!,"AAAAACte+/w=")</f>
        <v>#REF!</v>
      </c>
      <c r="IT42" s="1" t="e">
        <f>AND(#REF!,"AAAAACte+/0=")</f>
        <v>#REF!</v>
      </c>
      <c r="IU42" s="1" t="e">
        <f>AND(#REF!,"AAAAACte+/4=")</f>
        <v>#REF!</v>
      </c>
      <c r="IV42" s="1" t="e">
        <f>AND(#REF!,"AAAAACte+/8=")</f>
        <v>#REF!</v>
      </c>
    </row>
    <row r="43" spans="1:256" ht="15" customHeight="1" x14ac:dyDescent="0.2">
      <c r="A43" s="1" t="e">
        <f>AND(#REF!,"AAAAAGvftwA=")</f>
        <v>#REF!</v>
      </c>
      <c r="B43" s="1" t="e">
        <f>AND(#REF!,"AAAAAGvftwE=")</f>
        <v>#REF!</v>
      </c>
      <c r="C43" s="1" t="e">
        <f>AND(#REF!,"AAAAAGvftwI=")</f>
        <v>#REF!</v>
      </c>
      <c r="D43" s="1" t="e">
        <f>AND(#REF!,"AAAAAGvftwM=")</f>
        <v>#REF!</v>
      </c>
      <c r="E43" s="1" t="e">
        <f>AND(#REF!,"AAAAAGvftwQ=")</f>
        <v>#REF!</v>
      </c>
      <c r="F43" s="1" t="e">
        <f>AND(#REF!,"AAAAAGvftwU=")</f>
        <v>#REF!</v>
      </c>
      <c r="G43" s="1" t="e">
        <f>AND(#REF!,"AAAAAGvftwY=")</f>
        <v>#REF!</v>
      </c>
      <c r="H43" s="1" t="e">
        <f>AND(#REF!,"AAAAAGvftwc=")</f>
        <v>#REF!</v>
      </c>
      <c r="I43" s="1" t="e">
        <f>AND(#REF!,"AAAAAGvftwg=")</f>
        <v>#REF!</v>
      </c>
      <c r="J43" s="1" t="e">
        <f>AND(#REF!,"AAAAAGvftwk=")</f>
        <v>#REF!</v>
      </c>
      <c r="K43" s="1" t="e">
        <f>AND(#REF!,"AAAAAGvftwo=")</f>
        <v>#REF!</v>
      </c>
      <c r="L43" s="1" t="e">
        <f>AND(#REF!,"AAAAAGvftws=")</f>
        <v>#REF!</v>
      </c>
      <c r="M43" s="1" t="e">
        <f>AND(#REF!,"AAAAAGvftww=")</f>
        <v>#REF!</v>
      </c>
      <c r="N43" s="1" t="e">
        <f>AND(#REF!,"AAAAAGvftw0=")</f>
        <v>#REF!</v>
      </c>
      <c r="O43" s="1" t="e">
        <f>IF(#REF!,"AAAAAGvftw4=",0)</f>
        <v>#REF!</v>
      </c>
      <c r="P43" s="1" t="e">
        <f>AND(#REF!,"AAAAAGvftw8=")</f>
        <v>#REF!</v>
      </c>
      <c r="Q43" s="1" t="e">
        <f>AND(#REF!,"AAAAAGvftxA=")</f>
        <v>#REF!</v>
      </c>
      <c r="R43" s="1" t="e">
        <f>AND(#REF!,"AAAAAGvftxE=")</f>
        <v>#REF!</v>
      </c>
      <c r="S43" s="1" t="e">
        <f>AND(#REF!,"AAAAAGvftxI=")</f>
        <v>#REF!</v>
      </c>
      <c r="T43" s="1" t="e">
        <f>AND(#REF!,"AAAAAGvftxM=")</f>
        <v>#REF!</v>
      </c>
      <c r="U43" s="1" t="e">
        <f>AND(#REF!,"AAAAAGvftxQ=")</f>
        <v>#REF!</v>
      </c>
      <c r="V43" s="1" t="e">
        <f>AND(#REF!,"AAAAAGvftxU=")</f>
        <v>#REF!</v>
      </c>
      <c r="W43" s="1" t="e">
        <f>AND(#REF!,"AAAAAGvftxY=")</f>
        <v>#REF!</v>
      </c>
      <c r="X43" s="1" t="e">
        <f>AND(#REF!,"AAAAAGvftxc=")</f>
        <v>#REF!</v>
      </c>
      <c r="Y43" s="1" t="e">
        <f>AND(#REF!,"AAAAAGvftxg=")</f>
        <v>#REF!</v>
      </c>
      <c r="Z43" s="1" t="e">
        <f>AND(#REF!,"AAAAAGvftxk=")</f>
        <v>#REF!</v>
      </c>
      <c r="AA43" s="1" t="e">
        <f>AND(#REF!,"AAAAAGvftxo=")</f>
        <v>#REF!</v>
      </c>
      <c r="AB43" s="1" t="e">
        <f>AND(#REF!,"AAAAAGvftxs=")</f>
        <v>#REF!</v>
      </c>
      <c r="AC43" s="1" t="e">
        <f>AND(#REF!,"AAAAAGvftxw=")</f>
        <v>#REF!</v>
      </c>
      <c r="AD43" s="1" t="e">
        <f>AND(#REF!,"AAAAAGvftx0=")</f>
        <v>#REF!</v>
      </c>
      <c r="AE43" s="1" t="e">
        <f>AND(#REF!,"AAAAAGvftx4=")</f>
        <v>#REF!</v>
      </c>
      <c r="AF43" s="1" t="e">
        <f>AND(#REF!,"AAAAAGvftx8=")</f>
        <v>#REF!</v>
      </c>
      <c r="AG43" s="1" t="e">
        <f>AND(#REF!,"AAAAAGvftyA=")</f>
        <v>#REF!</v>
      </c>
      <c r="AH43" s="1" t="e">
        <f>AND(#REF!,"AAAAAGvftyE=")</f>
        <v>#REF!</v>
      </c>
      <c r="AI43" s="1" t="e">
        <f>AND(#REF!,"AAAAAGvftyI=")</f>
        <v>#REF!</v>
      </c>
      <c r="AJ43" s="1" t="e">
        <f>AND(#REF!,"AAAAAGvftyM=")</f>
        <v>#REF!</v>
      </c>
      <c r="AK43" s="1" t="e">
        <f>AND(#REF!,"AAAAAGvftyQ=")</f>
        <v>#REF!</v>
      </c>
      <c r="AL43" s="1" t="e">
        <f>AND(#REF!,"AAAAAGvftyU=")</f>
        <v>#REF!</v>
      </c>
      <c r="AM43" s="1" t="e">
        <f>AND(#REF!,"AAAAAGvftyY=")</f>
        <v>#REF!</v>
      </c>
      <c r="AN43" s="1" t="e">
        <f>AND(#REF!,"AAAAAGvftyc=")</f>
        <v>#REF!</v>
      </c>
      <c r="AO43" s="1" t="e">
        <f>AND(#REF!,"AAAAAGvftyg=")</f>
        <v>#REF!</v>
      </c>
      <c r="AP43" s="1" t="e">
        <f>AND(#REF!,"AAAAAGvftyk=")</f>
        <v>#REF!</v>
      </c>
      <c r="AQ43" s="1" t="e">
        <f>AND(#REF!,"AAAAAGvftyo=")</f>
        <v>#REF!</v>
      </c>
      <c r="AR43" s="1" t="e">
        <f>AND(#REF!,"AAAAAGvftys=")</f>
        <v>#REF!</v>
      </c>
      <c r="AS43" s="1" t="e">
        <f>AND(#REF!,"AAAAAGvftyw=")</f>
        <v>#REF!</v>
      </c>
      <c r="AT43" s="1" t="e">
        <f>AND(#REF!,"AAAAAGvfty0=")</f>
        <v>#REF!</v>
      </c>
      <c r="AU43" s="1" t="e">
        <f>AND(#REF!,"AAAAAGvfty4=")</f>
        <v>#REF!</v>
      </c>
      <c r="AV43" s="1" t="e">
        <f>AND(#REF!,"AAAAAGvfty8=")</f>
        <v>#REF!</v>
      </c>
      <c r="AW43" s="1" t="e">
        <f>AND(#REF!,"AAAAAGvftzA=")</f>
        <v>#REF!</v>
      </c>
      <c r="AX43" s="1" t="e">
        <f>AND(#REF!,"AAAAAGvftzE=")</f>
        <v>#REF!</v>
      </c>
      <c r="AY43" s="1" t="e">
        <f>AND(#REF!,"AAAAAGvftzI=")</f>
        <v>#REF!</v>
      </c>
      <c r="AZ43" s="1" t="e">
        <f>AND(#REF!,"AAAAAGvftzM=")</f>
        <v>#REF!</v>
      </c>
      <c r="BA43" s="1" t="e">
        <f>AND(#REF!,"AAAAAGvftzQ=")</f>
        <v>#REF!</v>
      </c>
      <c r="BB43" s="1" t="e">
        <f>AND(#REF!,"AAAAAGvftzU=")</f>
        <v>#REF!</v>
      </c>
      <c r="BC43" s="1" t="e">
        <f>AND(#REF!,"AAAAAGvftzY=")</f>
        <v>#REF!</v>
      </c>
      <c r="BD43" s="1" t="e">
        <f>AND(#REF!,"AAAAAGvftzc=")</f>
        <v>#REF!</v>
      </c>
      <c r="BE43" s="1" t="e">
        <f>AND(#REF!,"AAAAAGvftzg=")</f>
        <v>#REF!</v>
      </c>
      <c r="BF43" s="1" t="e">
        <f>AND(#REF!,"AAAAAGvftzk=")</f>
        <v>#REF!</v>
      </c>
      <c r="BG43" s="1" t="e">
        <f>AND(#REF!,"AAAAAGvftzo=")</f>
        <v>#REF!</v>
      </c>
      <c r="BH43" s="1" t="e">
        <f>AND(#REF!,"AAAAAGvftzs=")</f>
        <v>#REF!</v>
      </c>
      <c r="BI43" s="1" t="e">
        <f>AND(#REF!,"AAAAAGvftzw=")</f>
        <v>#REF!</v>
      </c>
      <c r="BJ43" s="1" t="e">
        <f>AND(#REF!,"AAAAAGvftz0=")</f>
        <v>#REF!</v>
      </c>
      <c r="BK43" s="1" t="e">
        <f>AND(#REF!,"AAAAAGvftz4=")</f>
        <v>#REF!</v>
      </c>
      <c r="BL43" s="1" t="e">
        <f>AND(#REF!,"AAAAAGvftz8=")</f>
        <v>#REF!</v>
      </c>
      <c r="BM43" s="1" t="e">
        <f>AND(#REF!,"AAAAAGvft0A=")</f>
        <v>#REF!</v>
      </c>
      <c r="BN43" s="1" t="e">
        <f>AND(#REF!,"AAAAAGvft0E=")</f>
        <v>#REF!</v>
      </c>
      <c r="BO43" s="1" t="e">
        <f>AND(#REF!,"AAAAAGvft0I=")</f>
        <v>#REF!</v>
      </c>
      <c r="BP43" s="1" t="e">
        <f>AND(#REF!,"AAAAAGvft0M=")</f>
        <v>#REF!</v>
      </c>
      <c r="BQ43" s="1" t="e">
        <f>AND(#REF!,"AAAAAGvft0Q=")</f>
        <v>#REF!</v>
      </c>
      <c r="BR43" s="1" t="e">
        <f>AND(#REF!,"AAAAAGvft0U=")</f>
        <v>#REF!</v>
      </c>
      <c r="BS43" s="1" t="e">
        <f>AND(#REF!,"AAAAAGvft0Y=")</f>
        <v>#REF!</v>
      </c>
      <c r="BT43" s="1" t="e">
        <f>AND(#REF!,"AAAAAGvft0c=")</f>
        <v>#REF!</v>
      </c>
      <c r="BU43" s="1" t="e">
        <f>AND(#REF!,"AAAAAGvft0g=")</f>
        <v>#REF!</v>
      </c>
      <c r="BV43" s="1" t="e">
        <f>AND(#REF!,"AAAAAGvft0k=")</f>
        <v>#REF!</v>
      </c>
      <c r="BW43" s="1" t="e">
        <f>AND(#REF!,"AAAAAGvft0o=")</f>
        <v>#REF!</v>
      </c>
      <c r="BX43" s="1" t="e">
        <f>AND(#REF!,"AAAAAGvft0s=")</f>
        <v>#REF!</v>
      </c>
      <c r="BY43" s="1" t="e">
        <f>AND(#REF!,"AAAAAGvft0w=")</f>
        <v>#REF!</v>
      </c>
      <c r="BZ43" s="1" t="e">
        <f>AND(#REF!,"AAAAAGvft00=")</f>
        <v>#REF!</v>
      </c>
      <c r="CA43" s="1" t="e">
        <f>AND(#REF!,"AAAAAGvft04=")</f>
        <v>#REF!</v>
      </c>
      <c r="CB43" s="1" t="e">
        <f>AND(#REF!,"AAAAAGvft08=")</f>
        <v>#REF!</v>
      </c>
      <c r="CC43" s="1" t="e">
        <f>AND(#REF!,"AAAAAGvft1A=")</f>
        <v>#REF!</v>
      </c>
      <c r="CD43" s="1" t="e">
        <f>AND(#REF!,"AAAAAGvft1E=")</f>
        <v>#REF!</v>
      </c>
      <c r="CE43" s="1" t="e">
        <f>AND(#REF!,"AAAAAGvft1I=")</f>
        <v>#REF!</v>
      </c>
      <c r="CF43" s="1" t="e">
        <f>AND(#REF!,"AAAAAGvft1M=")</f>
        <v>#REF!</v>
      </c>
      <c r="CG43" s="1" t="e">
        <f>AND(#REF!,"AAAAAGvft1Q=")</f>
        <v>#REF!</v>
      </c>
      <c r="CH43" s="1" t="e">
        <f>AND(#REF!,"AAAAAGvft1U=")</f>
        <v>#REF!</v>
      </c>
      <c r="CI43" s="1" t="e">
        <f>AND(#REF!,"AAAAAGvft1Y=")</f>
        <v>#REF!</v>
      </c>
      <c r="CJ43" s="1" t="e">
        <f>AND(#REF!,"AAAAAGvft1c=")</f>
        <v>#REF!</v>
      </c>
      <c r="CK43" s="1" t="e">
        <f>AND(#REF!,"AAAAAGvft1g=")</f>
        <v>#REF!</v>
      </c>
      <c r="CL43" s="1" t="e">
        <f>AND(#REF!,"AAAAAGvft1k=")</f>
        <v>#REF!</v>
      </c>
      <c r="CM43" s="1" t="e">
        <f>AND(#REF!,"AAAAAGvft1o=")</f>
        <v>#REF!</v>
      </c>
      <c r="CN43" s="1" t="e">
        <f>AND(#REF!,"AAAAAGvft1s=")</f>
        <v>#REF!</v>
      </c>
      <c r="CO43" s="1" t="e">
        <f>AND(#REF!,"AAAAAGvft1w=")</f>
        <v>#REF!</v>
      </c>
      <c r="CP43" s="1" t="e">
        <f>AND(#REF!,"AAAAAGvft10=")</f>
        <v>#REF!</v>
      </c>
      <c r="CQ43" s="1" t="e">
        <f>AND(#REF!,"AAAAAGvft14=")</f>
        <v>#REF!</v>
      </c>
      <c r="CR43" s="1" t="e">
        <f>AND(#REF!,"AAAAAGvft18=")</f>
        <v>#REF!</v>
      </c>
      <c r="CS43" s="1" t="e">
        <f>AND(#REF!,"AAAAAGvft2A=")</f>
        <v>#REF!</v>
      </c>
      <c r="CT43" s="1" t="e">
        <f>AND(#REF!,"AAAAAGvft2E=")</f>
        <v>#REF!</v>
      </c>
      <c r="CU43" s="1" t="e">
        <f>AND(#REF!,"AAAAAGvft2I=")</f>
        <v>#REF!</v>
      </c>
      <c r="CV43" s="1" t="e">
        <f>AND(#REF!,"AAAAAGvft2M=")</f>
        <v>#REF!</v>
      </c>
      <c r="CW43" s="1" t="e">
        <f>AND(#REF!,"AAAAAGvft2Q=")</f>
        <v>#REF!</v>
      </c>
      <c r="CX43" s="1" t="e">
        <f>AND(#REF!,"AAAAAGvft2U=")</f>
        <v>#REF!</v>
      </c>
      <c r="CY43" s="1" t="e">
        <f>AND(#REF!,"AAAAAGvft2Y=")</f>
        <v>#REF!</v>
      </c>
      <c r="CZ43" s="1" t="e">
        <f>AND(#REF!,"AAAAAGvft2c=")</f>
        <v>#REF!</v>
      </c>
      <c r="DA43" s="1" t="e">
        <f>AND(#REF!,"AAAAAGvft2g=")</f>
        <v>#REF!</v>
      </c>
      <c r="DB43" s="1" t="e">
        <f>AND(#REF!,"AAAAAGvft2k=")</f>
        <v>#REF!</v>
      </c>
      <c r="DC43" s="1" t="e">
        <f>AND(#REF!,"AAAAAGvft2o=")</f>
        <v>#REF!</v>
      </c>
      <c r="DD43" s="1" t="e">
        <f>AND(#REF!,"AAAAAGvft2s=")</f>
        <v>#REF!</v>
      </c>
      <c r="DE43" s="1" t="e">
        <f>AND(#REF!,"AAAAAGvft2w=")</f>
        <v>#REF!</v>
      </c>
      <c r="DF43" s="1" t="e">
        <f>AND(#REF!,"AAAAAGvft20=")</f>
        <v>#REF!</v>
      </c>
      <c r="DG43" s="1" t="e">
        <f>AND(#REF!,"AAAAAGvft24=")</f>
        <v>#REF!</v>
      </c>
      <c r="DH43" s="1" t="e">
        <f>AND(#REF!,"AAAAAGvft28=")</f>
        <v>#REF!</v>
      </c>
      <c r="DI43" s="1" t="e">
        <f>AND(#REF!,"AAAAAGvft3A=")</f>
        <v>#REF!</v>
      </c>
      <c r="DJ43" s="1" t="e">
        <f>AND(#REF!,"AAAAAGvft3E=")</f>
        <v>#REF!</v>
      </c>
      <c r="DK43" s="1" t="e">
        <f>AND(#REF!,"AAAAAGvft3I=")</f>
        <v>#REF!</v>
      </c>
      <c r="DL43" s="1" t="e">
        <f>AND(#REF!,"AAAAAGvft3M=")</f>
        <v>#REF!</v>
      </c>
      <c r="DM43" s="1" t="e">
        <f>AND(#REF!,"AAAAAGvft3Q=")</f>
        <v>#REF!</v>
      </c>
      <c r="DN43" s="1" t="e">
        <f>IF(#REF!,"AAAAAGvft3U=",0)</f>
        <v>#REF!</v>
      </c>
      <c r="DO43" s="1" t="e">
        <f>AND(#REF!,"AAAAAGvft3Y=")</f>
        <v>#REF!</v>
      </c>
      <c r="DP43" s="1" t="e">
        <f>AND(#REF!,"AAAAAGvft3c=")</f>
        <v>#REF!</v>
      </c>
      <c r="DQ43" s="1" t="e">
        <f>AND(#REF!,"AAAAAGvft3g=")</f>
        <v>#REF!</v>
      </c>
      <c r="DR43" s="1" t="e">
        <f>AND(#REF!,"AAAAAGvft3k=")</f>
        <v>#REF!</v>
      </c>
      <c r="DS43" s="1" t="e">
        <f>AND(#REF!,"AAAAAGvft3o=")</f>
        <v>#REF!</v>
      </c>
      <c r="DT43" s="1" t="e">
        <f>AND(#REF!,"AAAAAGvft3s=")</f>
        <v>#REF!</v>
      </c>
      <c r="DU43" s="1" t="e">
        <f>AND(#REF!,"AAAAAGvft3w=")</f>
        <v>#REF!</v>
      </c>
      <c r="DV43" s="1" t="e">
        <f>AND(#REF!,"AAAAAGvft30=")</f>
        <v>#REF!</v>
      </c>
      <c r="DW43" s="1" t="e">
        <f>AND(#REF!,"AAAAAGvft34=")</f>
        <v>#REF!</v>
      </c>
      <c r="DX43" s="1" t="e">
        <f>AND(#REF!,"AAAAAGvft38=")</f>
        <v>#REF!</v>
      </c>
      <c r="DY43" s="1" t="e">
        <f>AND(#REF!,"AAAAAGvft4A=")</f>
        <v>#REF!</v>
      </c>
      <c r="DZ43" s="1" t="e">
        <f>AND(#REF!,"AAAAAGvft4E=")</f>
        <v>#REF!</v>
      </c>
      <c r="EA43" s="1" t="e">
        <f>AND(#REF!,"AAAAAGvft4I=")</f>
        <v>#REF!</v>
      </c>
      <c r="EB43" s="1" t="e">
        <f>AND(#REF!,"AAAAAGvft4M=")</f>
        <v>#REF!</v>
      </c>
      <c r="EC43" s="1" t="e">
        <f>AND(#REF!,"AAAAAGvft4Q=")</f>
        <v>#REF!</v>
      </c>
      <c r="ED43" s="1" t="e">
        <f>AND(#REF!,"AAAAAGvft4U=")</f>
        <v>#REF!</v>
      </c>
      <c r="EE43" s="1" t="e">
        <f>AND(#REF!,"AAAAAGvft4Y=")</f>
        <v>#REF!</v>
      </c>
      <c r="EF43" s="1" t="e">
        <f>AND(#REF!,"AAAAAGvft4c=")</f>
        <v>#REF!</v>
      </c>
      <c r="EG43" s="1" t="e">
        <f>AND(#REF!,"AAAAAGvft4g=")</f>
        <v>#REF!</v>
      </c>
      <c r="EH43" s="1" t="e">
        <f>AND(#REF!,"AAAAAGvft4k=")</f>
        <v>#REF!</v>
      </c>
      <c r="EI43" s="1" t="e">
        <f>AND(#REF!,"AAAAAGvft4o=")</f>
        <v>#REF!</v>
      </c>
      <c r="EJ43" s="1" t="e">
        <f>AND(#REF!,"AAAAAGvft4s=")</f>
        <v>#REF!</v>
      </c>
      <c r="EK43" s="1" t="e">
        <f>AND(#REF!,"AAAAAGvft4w=")</f>
        <v>#REF!</v>
      </c>
      <c r="EL43" s="1" t="e">
        <f>AND(#REF!,"AAAAAGvft40=")</f>
        <v>#REF!</v>
      </c>
      <c r="EM43" s="1" t="e">
        <f>AND(#REF!,"AAAAAGvft44=")</f>
        <v>#REF!</v>
      </c>
      <c r="EN43" s="1" t="e">
        <f>AND(#REF!,"AAAAAGvft48=")</f>
        <v>#REF!</v>
      </c>
      <c r="EO43" s="1" t="e">
        <f>AND(#REF!,"AAAAAGvft5A=")</f>
        <v>#REF!</v>
      </c>
      <c r="EP43" s="1" t="e">
        <f>AND(#REF!,"AAAAAGvft5E=")</f>
        <v>#REF!</v>
      </c>
      <c r="EQ43" s="1" t="e">
        <f>AND(#REF!,"AAAAAGvft5I=")</f>
        <v>#REF!</v>
      </c>
      <c r="ER43" s="1" t="e">
        <f>AND(#REF!,"AAAAAGvft5M=")</f>
        <v>#REF!</v>
      </c>
      <c r="ES43" s="1" t="e">
        <f>AND(#REF!,"AAAAAGvft5Q=")</f>
        <v>#REF!</v>
      </c>
      <c r="ET43" s="1" t="e">
        <f>AND(#REF!,"AAAAAGvft5U=")</f>
        <v>#REF!</v>
      </c>
      <c r="EU43" s="1" t="e">
        <f>AND(#REF!,"AAAAAGvft5Y=")</f>
        <v>#REF!</v>
      </c>
      <c r="EV43" s="1" t="e">
        <f>AND(#REF!,"AAAAAGvft5c=")</f>
        <v>#REF!</v>
      </c>
      <c r="EW43" s="1" t="e">
        <f>AND(#REF!,"AAAAAGvft5g=")</f>
        <v>#REF!</v>
      </c>
      <c r="EX43" s="1" t="e">
        <f>AND(#REF!,"AAAAAGvft5k=")</f>
        <v>#REF!</v>
      </c>
      <c r="EY43" s="1" t="e">
        <f>AND(#REF!,"AAAAAGvft5o=")</f>
        <v>#REF!</v>
      </c>
      <c r="EZ43" s="1" t="e">
        <f>AND(#REF!,"AAAAAGvft5s=")</f>
        <v>#REF!</v>
      </c>
      <c r="FA43" s="1" t="e">
        <f>AND(#REF!,"AAAAAGvft5w=")</f>
        <v>#REF!</v>
      </c>
      <c r="FB43" s="1" t="e">
        <f>AND(#REF!,"AAAAAGvft50=")</f>
        <v>#REF!</v>
      </c>
      <c r="FC43" s="1" t="e">
        <f>AND(#REF!,"AAAAAGvft54=")</f>
        <v>#REF!</v>
      </c>
      <c r="FD43" s="1" t="e">
        <f>AND(#REF!,"AAAAAGvft58=")</f>
        <v>#REF!</v>
      </c>
      <c r="FE43" s="1" t="e">
        <f>AND(#REF!,"AAAAAGvft6A=")</f>
        <v>#REF!</v>
      </c>
      <c r="FF43" s="1" t="e">
        <f>AND(#REF!,"AAAAAGvft6E=")</f>
        <v>#REF!</v>
      </c>
      <c r="FG43" s="1" t="e">
        <f>AND(#REF!,"AAAAAGvft6I=")</f>
        <v>#REF!</v>
      </c>
      <c r="FH43" s="1" t="e">
        <f>AND(#REF!,"AAAAAGvft6M=")</f>
        <v>#REF!</v>
      </c>
      <c r="FI43" s="1" t="e">
        <f>AND(#REF!,"AAAAAGvft6Q=")</f>
        <v>#REF!</v>
      </c>
      <c r="FJ43" s="1" t="e">
        <f>AND(#REF!,"AAAAAGvft6U=")</f>
        <v>#REF!</v>
      </c>
      <c r="FK43" s="1" t="e">
        <f>AND(#REF!,"AAAAAGvft6Y=")</f>
        <v>#REF!</v>
      </c>
      <c r="FL43" s="1" t="e">
        <f>AND(#REF!,"AAAAAGvft6c=")</f>
        <v>#REF!</v>
      </c>
      <c r="FM43" s="1" t="e">
        <f>AND(#REF!,"AAAAAGvft6g=")</f>
        <v>#REF!</v>
      </c>
      <c r="FN43" s="1" t="e">
        <f>AND(#REF!,"AAAAAGvft6k=")</f>
        <v>#REF!</v>
      </c>
      <c r="FO43" s="1" t="e">
        <f>AND(#REF!,"AAAAAGvft6o=")</f>
        <v>#REF!</v>
      </c>
      <c r="FP43" s="1" t="e">
        <f>AND(#REF!,"AAAAAGvft6s=")</f>
        <v>#REF!</v>
      </c>
      <c r="FQ43" s="1" t="e">
        <f>AND(#REF!,"AAAAAGvft6w=")</f>
        <v>#REF!</v>
      </c>
      <c r="FR43" s="1" t="e">
        <f>AND(#REF!,"AAAAAGvft60=")</f>
        <v>#REF!</v>
      </c>
      <c r="FS43" s="1" t="e">
        <f>AND(#REF!,"AAAAAGvft64=")</f>
        <v>#REF!</v>
      </c>
      <c r="FT43" s="1" t="e">
        <f>AND(#REF!,"AAAAAGvft68=")</f>
        <v>#REF!</v>
      </c>
      <c r="FU43" s="1" t="e">
        <f>AND(#REF!,"AAAAAGvft7A=")</f>
        <v>#REF!</v>
      </c>
      <c r="FV43" s="1" t="e">
        <f>AND(#REF!,"AAAAAGvft7E=")</f>
        <v>#REF!</v>
      </c>
      <c r="FW43" s="1" t="e">
        <f>AND(#REF!,"AAAAAGvft7I=")</f>
        <v>#REF!</v>
      </c>
      <c r="FX43" s="1" t="e">
        <f>AND(#REF!,"AAAAAGvft7M=")</f>
        <v>#REF!</v>
      </c>
      <c r="FY43" s="1" t="e">
        <f>AND(#REF!,"AAAAAGvft7Q=")</f>
        <v>#REF!</v>
      </c>
      <c r="FZ43" s="1" t="e">
        <f>AND(#REF!,"AAAAAGvft7U=")</f>
        <v>#REF!</v>
      </c>
      <c r="GA43" s="1" t="e">
        <f>AND(#REF!,"AAAAAGvft7Y=")</f>
        <v>#REF!</v>
      </c>
      <c r="GB43" s="1" t="e">
        <f>AND(#REF!,"AAAAAGvft7c=")</f>
        <v>#REF!</v>
      </c>
      <c r="GC43" s="1" t="e">
        <f>AND(#REF!,"AAAAAGvft7g=")</f>
        <v>#REF!</v>
      </c>
      <c r="GD43" s="1" t="e">
        <f>AND(#REF!,"AAAAAGvft7k=")</f>
        <v>#REF!</v>
      </c>
      <c r="GE43" s="1" t="e">
        <f>AND(#REF!,"AAAAAGvft7o=")</f>
        <v>#REF!</v>
      </c>
      <c r="GF43" s="1" t="e">
        <f>AND(#REF!,"AAAAAGvft7s=")</f>
        <v>#REF!</v>
      </c>
      <c r="GG43" s="1" t="e">
        <f>AND(#REF!,"AAAAAGvft7w=")</f>
        <v>#REF!</v>
      </c>
      <c r="GH43" s="1" t="e">
        <f>AND(#REF!,"AAAAAGvft70=")</f>
        <v>#REF!</v>
      </c>
      <c r="GI43" s="1" t="e">
        <f>AND(#REF!,"AAAAAGvft74=")</f>
        <v>#REF!</v>
      </c>
      <c r="GJ43" s="1" t="e">
        <f>AND(#REF!,"AAAAAGvft78=")</f>
        <v>#REF!</v>
      </c>
      <c r="GK43" s="1" t="e">
        <f>AND(#REF!,"AAAAAGvft8A=")</f>
        <v>#REF!</v>
      </c>
      <c r="GL43" s="1" t="e">
        <f>AND(#REF!,"AAAAAGvft8E=")</f>
        <v>#REF!</v>
      </c>
      <c r="GM43" s="1" t="e">
        <f>AND(#REF!,"AAAAAGvft8I=")</f>
        <v>#REF!</v>
      </c>
      <c r="GN43" s="1" t="e">
        <f>AND(#REF!,"AAAAAGvft8M=")</f>
        <v>#REF!</v>
      </c>
      <c r="GO43" s="1" t="e">
        <f>AND(#REF!,"AAAAAGvft8Q=")</f>
        <v>#REF!</v>
      </c>
      <c r="GP43" s="1" t="e">
        <f>AND(#REF!,"AAAAAGvft8U=")</f>
        <v>#REF!</v>
      </c>
      <c r="GQ43" s="1" t="e">
        <f>AND(#REF!,"AAAAAGvft8Y=")</f>
        <v>#REF!</v>
      </c>
      <c r="GR43" s="1" t="e">
        <f>AND(#REF!,"AAAAAGvft8c=")</f>
        <v>#REF!</v>
      </c>
      <c r="GS43" s="1" t="e">
        <f>AND(#REF!,"AAAAAGvft8g=")</f>
        <v>#REF!</v>
      </c>
      <c r="GT43" s="1" t="e">
        <f>AND(#REF!,"AAAAAGvft8k=")</f>
        <v>#REF!</v>
      </c>
      <c r="GU43" s="1" t="e">
        <f>AND(#REF!,"AAAAAGvft8o=")</f>
        <v>#REF!</v>
      </c>
      <c r="GV43" s="1" t="e">
        <f>AND(#REF!,"AAAAAGvft8s=")</f>
        <v>#REF!</v>
      </c>
      <c r="GW43" s="1" t="e">
        <f>AND(#REF!,"AAAAAGvft8w=")</f>
        <v>#REF!</v>
      </c>
      <c r="GX43" s="1" t="e">
        <f>AND(#REF!,"AAAAAGvft80=")</f>
        <v>#REF!</v>
      </c>
      <c r="GY43" s="1" t="e">
        <f>AND(#REF!,"AAAAAGvft84=")</f>
        <v>#REF!</v>
      </c>
      <c r="GZ43" s="1" t="e">
        <f>AND(#REF!,"AAAAAGvft88=")</f>
        <v>#REF!</v>
      </c>
      <c r="HA43" s="1" t="e">
        <f>AND(#REF!,"AAAAAGvft9A=")</f>
        <v>#REF!</v>
      </c>
      <c r="HB43" s="1" t="e">
        <f>AND(#REF!,"AAAAAGvft9E=")</f>
        <v>#REF!</v>
      </c>
      <c r="HC43" s="1" t="e">
        <f>AND(#REF!,"AAAAAGvft9I=")</f>
        <v>#REF!</v>
      </c>
      <c r="HD43" s="1" t="e">
        <f>AND(#REF!,"AAAAAGvft9M=")</f>
        <v>#REF!</v>
      </c>
      <c r="HE43" s="1" t="e">
        <f>AND(#REF!,"AAAAAGvft9Q=")</f>
        <v>#REF!</v>
      </c>
      <c r="HF43" s="1" t="e">
        <f>AND(#REF!,"AAAAAGvft9U=")</f>
        <v>#REF!</v>
      </c>
      <c r="HG43" s="1" t="e">
        <f>AND(#REF!,"AAAAAGvft9Y=")</f>
        <v>#REF!</v>
      </c>
      <c r="HH43" s="1" t="e">
        <f>AND(#REF!,"AAAAAGvft9c=")</f>
        <v>#REF!</v>
      </c>
      <c r="HI43" s="1" t="e">
        <f>AND(#REF!,"AAAAAGvft9g=")</f>
        <v>#REF!</v>
      </c>
      <c r="HJ43" s="1" t="e">
        <f>AND(#REF!,"AAAAAGvft9k=")</f>
        <v>#REF!</v>
      </c>
      <c r="HK43" s="1" t="e">
        <f>AND(#REF!,"AAAAAGvft9o=")</f>
        <v>#REF!</v>
      </c>
      <c r="HL43" s="1" t="e">
        <f>AND(#REF!,"AAAAAGvft9s=")</f>
        <v>#REF!</v>
      </c>
      <c r="HM43" s="1" t="e">
        <f>IF(#REF!,"AAAAAGvft9w=",0)</f>
        <v>#REF!</v>
      </c>
      <c r="HN43" s="1" t="e">
        <f>AND(#REF!,"AAAAAGvft90=")</f>
        <v>#REF!</v>
      </c>
      <c r="HO43" s="1" t="e">
        <f>AND(#REF!,"AAAAAGvft94=")</f>
        <v>#REF!</v>
      </c>
      <c r="HP43" s="1" t="e">
        <f>AND(#REF!,"AAAAAGvft98=")</f>
        <v>#REF!</v>
      </c>
      <c r="HQ43" s="1" t="e">
        <f>AND(#REF!,"AAAAAGvft+A=")</f>
        <v>#REF!</v>
      </c>
      <c r="HR43" s="1" t="e">
        <f>AND(#REF!,"AAAAAGvft+E=")</f>
        <v>#REF!</v>
      </c>
      <c r="HS43" s="1" t="e">
        <f>AND(#REF!,"AAAAAGvft+I=")</f>
        <v>#REF!</v>
      </c>
      <c r="HT43" s="1" t="e">
        <f>AND(#REF!,"AAAAAGvft+M=")</f>
        <v>#REF!</v>
      </c>
      <c r="HU43" s="1" t="e">
        <f>AND(#REF!,"AAAAAGvft+Q=")</f>
        <v>#REF!</v>
      </c>
      <c r="HV43" s="1" t="e">
        <f>AND(#REF!,"AAAAAGvft+U=")</f>
        <v>#REF!</v>
      </c>
      <c r="HW43" s="1" t="e">
        <f>AND(#REF!,"AAAAAGvft+Y=")</f>
        <v>#REF!</v>
      </c>
      <c r="HX43" s="1" t="e">
        <f>AND(#REF!,"AAAAAGvft+c=")</f>
        <v>#REF!</v>
      </c>
      <c r="HY43" s="1" t="e">
        <f>AND(#REF!,"AAAAAGvft+g=")</f>
        <v>#REF!</v>
      </c>
      <c r="HZ43" s="1" t="e">
        <f>AND(#REF!,"AAAAAGvft+k=")</f>
        <v>#REF!</v>
      </c>
      <c r="IA43" s="1" t="e">
        <f>AND(#REF!,"AAAAAGvft+o=")</f>
        <v>#REF!</v>
      </c>
      <c r="IB43" s="1" t="e">
        <f>AND(#REF!,"AAAAAGvft+s=")</f>
        <v>#REF!</v>
      </c>
      <c r="IC43" s="1" t="e">
        <f>AND(#REF!,"AAAAAGvft+w=")</f>
        <v>#REF!</v>
      </c>
      <c r="ID43" s="1" t="e">
        <f>AND(#REF!,"AAAAAGvft+0=")</f>
        <v>#REF!</v>
      </c>
      <c r="IE43" s="1" t="e">
        <f>AND(#REF!,"AAAAAGvft+4=")</f>
        <v>#REF!</v>
      </c>
      <c r="IF43" s="1" t="e">
        <f>AND(#REF!,"AAAAAGvft+8=")</f>
        <v>#REF!</v>
      </c>
      <c r="IG43" s="1" t="e">
        <f>AND(#REF!,"AAAAAGvft/A=")</f>
        <v>#REF!</v>
      </c>
      <c r="IH43" s="1" t="e">
        <f>AND(#REF!,"AAAAAGvft/E=")</f>
        <v>#REF!</v>
      </c>
      <c r="II43" s="1" t="e">
        <f>AND(#REF!,"AAAAAGvft/I=")</f>
        <v>#REF!</v>
      </c>
      <c r="IJ43" s="1" t="e">
        <f>AND(#REF!,"AAAAAGvft/M=")</f>
        <v>#REF!</v>
      </c>
      <c r="IK43" s="1" t="e">
        <f>AND(#REF!,"AAAAAGvft/Q=")</f>
        <v>#REF!</v>
      </c>
      <c r="IL43" s="1" t="e">
        <f>AND(#REF!,"AAAAAGvft/U=")</f>
        <v>#REF!</v>
      </c>
      <c r="IM43" s="1" t="e">
        <f>AND(#REF!,"AAAAAGvft/Y=")</f>
        <v>#REF!</v>
      </c>
      <c r="IN43" s="1" t="e">
        <f>AND(#REF!,"AAAAAGvft/c=")</f>
        <v>#REF!</v>
      </c>
      <c r="IO43" s="1" t="e">
        <f>AND(#REF!,"AAAAAGvft/g=")</f>
        <v>#REF!</v>
      </c>
      <c r="IP43" s="1" t="e">
        <f>AND(#REF!,"AAAAAGvft/k=")</f>
        <v>#REF!</v>
      </c>
      <c r="IQ43" s="1" t="e">
        <f>AND(#REF!,"AAAAAGvft/o=")</f>
        <v>#REF!</v>
      </c>
      <c r="IR43" s="1" t="e">
        <f>AND(#REF!,"AAAAAGvft/s=")</f>
        <v>#REF!</v>
      </c>
      <c r="IS43" s="1" t="e">
        <f>AND(#REF!,"AAAAAGvft/w=")</f>
        <v>#REF!</v>
      </c>
      <c r="IT43" s="1" t="e">
        <f>AND(#REF!,"AAAAAGvft/0=")</f>
        <v>#REF!</v>
      </c>
      <c r="IU43" s="1" t="e">
        <f>AND(#REF!,"AAAAAGvft/4=")</f>
        <v>#REF!</v>
      </c>
      <c r="IV43" s="1" t="e">
        <f>AND(#REF!,"AAAAAGvft/8=")</f>
        <v>#REF!</v>
      </c>
    </row>
    <row r="44" spans="1:256" ht="15" customHeight="1" x14ac:dyDescent="0.2">
      <c r="A44" s="1" t="e">
        <f>AND(#REF!,"AAAAAD98/wA=")</f>
        <v>#REF!</v>
      </c>
      <c r="B44" s="1" t="e">
        <f>AND(#REF!,"AAAAAD98/wE=")</f>
        <v>#REF!</v>
      </c>
      <c r="C44" s="1" t="e">
        <f>AND(#REF!,"AAAAAD98/wI=")</f>
        <v>#REF!</v>
      </c>
      <c r="D44" s="1" t="e">
        <f>AND(#REF!,"AAAAAD98/wM=")</f>
        <v>#REF!</v>
      </c>
      <c r="E44" s="1" t="e">
        <f>AND(#REF!,"AAAAAD98/wQ=")</f>
        <v>#REF!</v>
      </c>
      <c r="F44" s="1" t="e">
        <f>AND(#REF!,"AAAAAD98/wU=")</f>
        <v>#REF!</v>
      </c>
      <c r="G44" s="1" t="e">
        <f>AND(#REF!,"AAAAAD98/wY=")</f>
        <v>#REF!</v>
      </c>
      <c r="H44" s="1" t="e">
        <f>AND(#REF!,"AAAAAD98/wc=")</f>
        <v>#REF!</v>
      </c>
      <c r="I44" s="1" t="e">
        <f>AND(#REF!,"AAAAAD98/wg=")</f>
        <v>#REF!</v>
      </c>
      <c r="J44" s="1" t="e">
        <f>AND(#REF!,"AAAAAD98/wk=")</f>
        <v>#REF!</v>
      </c>
      <c r="K44" s="1" t="e">
        <f>AND(#REF!,"AAAAAD98/wo=")</f>
        <v>#REF!</v>
      </c>
      <c r="L44" s="1" t="e">
        <f>AND(#REF!,"AAAAAD98/ws=")</f>
        <v>#REF!</v>
      </c>
      <c r="M44" s="1" t="e">
        <f>AND(#REF!,"AAAAAD98/ww=")</f>
        <v>#REF!</v>
      </c>
      <c r="N44" s="1" t="e">
        <f>AND(#REF!,"AAAAAD98/w0=")</f>
        <v>#REF!</v>
      </c>
      <c r="O44" s="1" t="e">
        <f>AND(#REF!,"AAAAAD98/w4=")</f>
        <v>#REF!</v>
      </c>
      <c r="P44" s="1" t="e">
        <f>AND(#REF!,"AAAAAD98/w8=")</f>
        <v>#REF!</v>
      </c>
      <c r="Q44" s="1" t="e">
        <f>AND(#REF!,"AAAAAD98/xA=")</f>
        <v>#REF!</v>
      </c>
      <c r="R44" s="1" t="e">
        <f>AND(#REF!,"AAAAAD98/xE=")</f>
        <v>#REF!</v>
      </c>
      <c r="S44" s="1" t="e">
        <f>AND(#REF!,"AAAAAD98/xI=")</f>
        <v>#REF!</v>
      </c>
      <c r="T44" s="1" t="e">
        <f>AND(#REF!,"AAAAAD98/xM=")</f>
        <v>#REF!</v>
      </c>
      <c r="U44" s="1" t="e">
        <f>AND(#REF!,"AAAAAD98/xQ=")</f>
        <v>#REF!</v>
      </c>
      <c r="V44" s="1" t="e">
        <f>AND(#REF!,"AAAAAD98/xU=")</f>
        <v>#REF!</v>
      </c>
      <c r="W44" s="1" t="e">
        <f>AND(#REF!,"AAAAAD98/xY=")</f>
        <v>#REF!</v>
      </c>
      <c r="X44" s="1" t="e">
        <f>AND(#REF!,"AAAAAD98/xc=")</f>
        <v>#REF!</v>
      </c>
      <c r="Y44" s="1" t="e">
        <f>AND(#REF!,"AAAAAD98/xg=")</f>
        <v>#REF!</v>
      </c>
      <c r="Z44" s="1" t="e">
        <f>AND(#REF!,"AAAAAD98/xk=")</f>
        <v>#REF!</v>
      </c>
      <c r="AA44" s="1" t="e">
        <f>AND(#REF!,"AAAAAD98/xo=")</f>
        <v>#REF!</v>
      </c>
      <c r="AB44" s="1" t="e">
        <f>AND(#REF!,"AAAAAD98/xs=")</f>
        <v>#REF!</v>
      </c>
      <c r="AC44" s="1" t="e">
        <f>AND(#REF!,"AAAAAD98/xw=")</f>
        <v>#REF!</v>
      </c>
      <c r="AD44" s="1" t="e">
        <f>AND(#REF!,"AAAAAD98/x0=")</f>
        <v>#REF!</v>
      </c>
      <c r="AE44" s="1" t="e">
        <f>AND(#REF!,"AAAAAD98/x4=")</f>
        <v>#REF!</v>
      </c>
      <c r="AF44" s="1" t="e">
        <f>AND(#REF!,"AAAAAD98/x8=")</f>
        <v>#REF!</v>
      </c>
      <c r="AG44" s="1" t="e">
        <f>AND(#REF!,"AAAAAD98/yA=")</f>
        <v>#REF!</v>
      </c>
      <c r="AH44" s="1" t="e">
        <f>AND(#REF!,"AAAAAD98/yE=")</f>
        <v>#REF!</v>
      </c>
      <c r="AI44" s="1" t="e">
        <f>AND(#REF!,"AAAAAD98/yI=")</f>
        <v>#REF!</v>
      </c>
      <c r="AJ44" s="1" t="e">
        <f>AND(#REF!,"AAAAAD98/yM=")</f>
        <v>#REF!</v>
      </c>
      <c r="AK44" s="1" t="e">
        <f>AND(#REF!,"AAAAAD98/yQ=")</f>
        <v>#REF!</v>
      </c>
      <c r="AL44" s="1" t="e">
        <f>AND(#REF!,"AAAAAD98/yU=")</f>
        <v>#REF!</v>
      </c>
      <c r="AM44" s="1" t="e">
        <f>AND(#REF!,"AAAAAD98/yY=")</f>
        <v>#REF!</v>
      </c>
      <c r="AN44" s="1" t="e">
        <f>AND(#REF!,"AAAAAD98/yc=")</f>
        <v>#REF!</v>
      </c>
      <c r="AO44" s="1" t="e">
        <f>AND(#REF!,"AAAAAD98/yg=")</f>
        <v>#REF!</v>
      </c>
      <c r="AP44" s="1" t="e">
        <f>AND(#REF!,"AAAAAD98/yk=")</f>
        <v>#REF!</v>
      </c>
      <c r="AQ44" s="1" t="e">
        <f>AND(#REF!,"AAAAAD98/yo=")</f>
        <v>#REF!</v>
      </c>
      <c r="AR44" s="1" t="e">
        <f>AND(#REF!,"AAAAAD98/ys=")</f>
        <v>#REF!</v>
      </c>
      <c r="AS44" s="1" t="e">
        <f>AND(#REF!,"AAAAAD98/yw=")</f>
        <v>#REF!</v>
      </c>
      <c r="AT44" s="1" t="e">
        <f>AND(#REF!,"AAAAAD98/y0=")</f>
        <v>#REF!</v>
      </c>
      <c r="AU44" s="1" t="e">
        <f>AND(#REF!,"AAAAAD98/y4=")</f>
        <v>#REF!</v>
      </c>
      <c r="AV44" s="1" t="e">
        <f>AND(#REF!,"AAAAAD98/y8=")</f>
        <v>#REF!</v>
      </c>
      <c r="AW44" s="1" t="e">
        <f>AND(#REF!,"AAAAAD98/zA=")</f>
        <v>#REF!</v>
      </c>
      <c r="AX44" s="1" t="e">
        <f>AND(#REF!,"AAAAAD98/zE=")</f>
        <v>#REF!</v>
      </c>
      <c r="AY44" s="1" t="e">
        <f>AND(#REF!,"AAAAAD98/zI=")</f>
        <v>#REF!</v>
      </c>
      <c r="AZ44" s="1" t="e">
        <f>AND(#REF!,"AAAAAD98/zM=")</f>
        <v>#REF!</v>
      </c>
      <c r="BA44" s="1" t="e">
        <f>AND(#REF!,"AAAAAD98/zQ=")</f>
        <v>#REF!</v>
      </c>
      <c r="BB44" s="1" t="e">
        <f>AND(#REF!,"AAAAAD98/zU=")</f>
        <v>#REF!</v>
      </c>
      <c r="BC44" s="1" t="e">
        <f>AND(#REF!,"AAAAAD98/zY=")</f>
        <v>#REF!</v>
      </c>
      <c r="BD44" s="1" t="e">
        <f>AND(#REF!,"AAAAAD98/zc=")</f>
        <v>#REF!</v>
      </c>
      <c r="BE44" s="1" t="e">
        <f>AND(#REF!,"AAAAAD98/zg=")</f>
        <v>#REF!</v>
      </c>
      <c r="BF44" s="1" t="e">
        <f>AND(#REF!,"AAAAAD98/zk=")</f>
        <v>#REF!</v>
      </c>
      <c r="BG44" s="1" t="e">
        <f>AND(#REF!,"AAAAAD98/zo=")</f>
        <v>#REF!</v>
      </c>
      <c r="BH44" s="1" t="e">
        <f>AND(#REF!,"AAAAAD98/zs=")</f>
        <v>#REF!</v>
      </c>
      <c r="BI44" s="1" t="e">
        <f>AND(#REF!,"AAAAAD98/zw=")</f>
        <v>#REF!</v>
      </c>
      <c r="BJ44" s="1" t="e">
        <f>AND(#REF!,"AAAAAD98/z0=")</f>
        <v>#REF!</v>
      </c>
      <c r="BK44" s="1" t="e">
        <f>AND(#REF!,"AAAAAD98/z4=")</f>
        <v>#REF!</v>
      </c>
      <c r="BL44" s="1" t="e">
        <f>AND(#REF!,"AAAAAD98/z8=")</f>
        <v>#REF!</v>
      </c>
      <c r="BM44" s="1" t="e">
        <f>AND(#REF!,"AAAAAD98/0A=")</f>
        <v>#REF!</v>
      </c>
      <c r="BN44" s="1" t="e">
        <f>AND(#REF!,"AAAAAD98/0E=")</f>
        <v>#REF!</v>
      </c>
      <c r="BO44" s="1" t="e">
        <f>AND(#REF!,"AAAAAD98/0I=")</f>
        <v>#REF!</v>
      </c>
      <c r="BP44" s="1" t="e">
        <f>IF(#REF!,"AAAAAD98/0M=",0)</f>
        <v>#REF!</v>
      </c>
      <c r="BQ44" s="1" t="e">
        <f>AND(#REF!,"AAAAAD98/0Q=")</f>
        <v>#REF!</v>
      </c>
      <c r="BR44" s="1" t="e">
        <f>AND(#REF!,"AAAAAD98/0U=")</f>
        <v>#REF!</v>
      </c>
      <c r="BS44" s="1" t="e">
        <f>AND(#REF!,"AAAAAD98/0Y=")</f>
        <v>#REF!</v>
      </c>
      <c r="BT44" s="1" t="e">
        <f>AND(#REF!,"AAAAAD98/0c=")</f>
        <v>#REF!</v>
      </c>
      <c r="BU44" s="1" t="e">
        <f>AND(#REF!,"AAAAAD98/0g=")</f>
        <v>#REF!</v>
      </c>
      <c r="BV44" s="1" t="e">
        <f>AND(#REF!,"AAAAAD98/0k=")</f>
        <v>#REF!</v>
      </c>
      <c r="BW44" s="1" t="e">
        <f>AND(#REF!,"AAAAAD98/0o=")</f>
        <v>#REF!</v>
      </c>
      <c r="BX44" s="1" t="e">
        <f>AND(#REF!,"AAAAAD98/0s=")</f>
        <v>#REF!</v>
      </c>
      <c r="BY44" s="1" t="e">
        <f>AND(#REF!,"AAAAAD98/0w=")</f>
        <v>#REF!</v>
      </c>
      <c r="BZ44" s="1" t="e">
        <f>AND(#REF!,"AAAAAD98/00=")</f>
        <v>#REF!</v>
      </c>
      <c r="CA44" s="1" t="e">
        <f>AND(#REF!,"AAAAAD98/04=")</f>
        <v>#REF!</v>
      </c>
      <c r="CB44" s="1" t="e">
        <f>AND(#REF!,"AAAAAD98/08=")</f>
        <v>#REF!</v>
      </c>
      <c r="CC44" s="1" t="e">
        <f>AND(#REF!,"AAAAAD98/1A=")</f>
        <v>#REF!</v>
      </c>
      <c r="CD44" s="1" t="e">
        <f>AND(#REF!,"AAAAAD98/1E=")</f>
        <v>#REF!</v>
      </c>
      <c r="CE44" s="1" t="e">
        <f>AND(#REF!,"AAAAAD98/1I=")</f>
        <v>#REF!</v>
      </c>
      <c r="CF44" s="1" t="e">
        <f>AND(#REF!,"AAAAAD98/1M=")</f>
        <v>#REF!</v>
      </c>
      <c r="CG44" s="1" t="e">
        <f>AND(#REF!,"AAAAAD98/1Q=")</f>
        <v>#REF!</v>
      </c>
      <c r="CH44" s="1" t="e">
        <f>AND(#REF!,"AAAAAD98/1U=")</f>
        <v>#REF!</v>
      </c>
      <c r="CI44" s="1" t="e">
        <f>AND(#REF!,"AAAAAD98/1Y=")</f>
        <v>#REF!</v>
      </c>
      <c r="CJ44" s="1" t="e">
        <f>AND(#REF!,"AAAAAD98/1c=")</f>
        <v>#REF!</v>
      </c>
      <c r="CK44" s="1" t="e">
        <f>AND(#REF!,"AAAAAD98/1g=")</f>
        <v>#REF!</v>
      </c>
      <c r="CL44" s="1" t="e">
        <f>AND(#REF!,"AAAAAD98/1k=")</f>
        <v>#REF!</v>
      </c>
      <c r="CM44" s="1" t="e">
        <f>AND(#REF!,"AAAAAD98/1o=")</f>
        <v>#REF!</v>
      </c>
      <c r="CN44" s="1" t="e">
        <f>AND(#REF!,"AAAAAD98/1s=")</f>
        <v>#REF!</v>
      </c>
      <c r="CO44" s="1" t="e">
        <f>AND(#REF!,"AAAAAD98/1w=")</f>
        <v>#REF!</v>
      </c>
      <c r="CP44" s="1" t="e">
        <f>AND(#REF!,"AAAAAD98/10=")</f>
        <v>#REF!</v>
      </c>
      <c r="CQ44" s="1" t="e">
        <f>AND(#REF!,"AAAAAD98/14=")</f>
        <v>#REF!</v>
      </c>
      <c r="CR44" s="1" t="e">
        <f>AND(#REF!,"AAAAAD98/18=")</f>
        <v>#REF!</v>
      </c>
      <c r="CS44" s="1" t="e">
        <f>AND(#REF!,"AAAAAD98/2A=")</f>
        <v>#REF!</v>
      </c>
      <c r="CT44" s="1" t="e">
        <f>AND(#REF!,"AAAAAD98/2E=")</f>
        <v>#REF!</v>
      </c>
      <c r="CU44" s="1" t="e">
        <f>AND(#REF!,"AAAAAD98/2I=")</f>
        <v>#REF!</v>
      </c>
      <c r="CV44" s="1" t="e">
        <f>AND(#REF!,"AAAAAD98/2M=")</f>
        <v>#REF!</v>
      </c>
      <c r="CW44" s="1" t="e">
        <f>AND(#REF!,"AAAAAD98/2Q=")</f>
        <v>#REF!</v>
      </c>
      <c r="CX44" s="1" t="e">
        <f>AND(#REF!,"AAAAAD98/2U=")</f>
        <v>#REF!</v>
      </c>
      <c r="CY44" s="1" t="e">
        <f>AND(#REF!,"AAAAAD98/2Y=")</f>
        <v>#REF!</v>
      </c>
      <c r="CZ44" s="1" t="e">
        <f>AND(#REF!,"AAAAAD98/2c=")</f>
        <v>#REF!</v>
      </c>
      <c r="DA44" s="1" t="e">
        <f>AND(#REF!,"AAAAAD98/2g=")</f>
        <v>#REF!</v>
      </c>
      <c r="DB44" s="1" t="e">
        <f>AND(#REF!,"AAAAAD98/2k=")</f>
        <v>#REF!</v>
      </c>
      <c r="DC44" s="1" t="e">
        <f>AND(#REF!,"AAAAAD98/2o=")</f>
        <v>#REF!</v>
      </c>
      <c r="DD44" s="1" t="e">
        <f>AND(#REF!,"AAAAAD98/2s=")</f>
        <v>#REF!</v>
      </c>
      <c r="DE44" s="1" t="e">
        <f>AND(#REF!,"AAAAAD98/2w=")</f>
        <v>#REF!</v>
      </c>
      <c r="DF44" s="1" t="e">
        <f>AND(#REF!,"AAAAAD98/20=")</f>
        <v>#REF!</v>
      </c>
      <c r="DG44" s="1" t="e">
        <f>AND(#REF!,"AAAAAD98/24=")</f>
        <v>#REF!</v>
      </c>
      <c r="DH44" s="1" t="e">
        <f>AND(#REF!,"AAAAAD98/28=")</f>
        <v>#REF!</v>
      </c>
      <c r="DI44" s="1" t="e">
        <f>AND(#REF!,"AAAAAD98/3A=")</f>
        <v>#REF!</v>
      </c>
      <c r="DJ44" s="1" t="e">
        <f>AND(#REF!,"AAAAAD98/3E=")</f>
        <v>#REF!</v>
      </c>
      <c r="DK44" s="1" t="e">
        <f>AND(#REF!,"AAAAAD98/3I=")</f>
        <v>#REF!</v>
      </c>
      <c r="DL44" s="1" t="e">
        <f>AND(#REF!,"AAAAAD98/3M=")</f>
        <v>#REF!</v>
      </c>
      <c r="DM44" s="1" t="e">
        <f>AND(#REF!,"AAAAAD98/3Q=")</f>
        <v>#REF!</v>
      </c>
      <c r="DN44" s="1" t="e">
        <f>AND(#REF!,"AAAAAD98/3U=")</f>
        <v>#REF!</v>
      </c>
      <c r="DO44" s="1" t="e">
        <f>AND(#REF!,"AAAAAD98/3Y=")</f>
        <v>#REF!</v>
      </c>
      <c r="DP44" s="1" t="e">
        <f>AND(#REF!,"AAAAAD98/3c=")</f>
        <v>#REF!</v>
      </c>
      <c r="DQ44" s="1" t="e">
        <f>AND(#REF!,"AAAAAD98/3g=")</f>
        <v>#REF!</v>
      </c>
      <c r="DR44" s="1" t="e">
        <f>AND(#REF!,"AAAAAD98/3k=")</f>
        <v>#REF!</v>
      </c>
      <c r="DS44" s="1" t="e">
        <f>AND(#REF!,"AAAAAD98/3o=")</f>
        <v>#REF!</v>
      </c>
      <c r="DT44" s="1" t="e">
        <f>AND(#REF!,"AAAAAD98/3s=")</f>
        <v>#REF!</v>
      </c>
      <c r="DU44" s="1" t="e">
        <f>AND(#REF!,"AAAAAD98/3w=")</f>
        <v>#REF!</v>
      </c>
      <c r="DV44" s="1" t="e">
        <f>AND(#REF!,"AAAAAD98/30=")</f>
        <v>#REF!</v>
      </c>
      <c r="DW44" s="1" t="e">
        <f>AND(#REF!,"AAAAAD98/34=")</f>
        <v>#REF!</v>
      </c>
      <c r="DX44" s="1" t="e">
        <f>AND(#REF!,"AAAAAD98/38=")</f>
        <v>#REF!</v>
      </c>
      <c r="DY44" s="1" t="e">
        <f>AND(#REF!,"AAAAAD98/4A=")</f>
        <v>#REF!</v>
      </c>
      <c r="DZ44" s="1" t="e">
        <f>AND(#REF!,"AAAAAD98/4E=")</f>
        <v>#REF!</v>
      </c>
      <c r="EA44" s="1" t="e">
        <f>AND(#REF!,"AAAAAD98/4I=")</f>
        <v>#REF!</v>
      </c>
      <c r="EB44" s="1" t="e">
        <f>AND(#REF!,"AAAAAD98/4M=")</f>
        <v>#REF!</v>
      </c>
      <c r="EC44" s="1" t="e">
        <f>AND(#REF!,"AAAAAD98/4Q=")</f>
        <v>#REF!</v>
      </c>
      <c r="ED44" s="1" t="e">
        <f>AND(#REF!,"AAAAAD98/4U=")</f>
        <v>#REF!</v>
      </c>
      <c r="EE44" s="1" t="e">
        <f>AND(#REF!,"AAAAAD98/4Y=")</f>
        <v>#REF!</v>
      </c>
      <c r="EF44" s="1" t="e">
        <f>AND(#REF!,"AAAAAD98/4c=")</f>
        <v>#REF!</v>
      </c>
      <c r="EG44" s="1" t="e">
        <f>AND(#REF!,"AAAAAD98/4g=")</f>
        <v>#REF!</v>
      </c>
      <c r="EH44" s="1" t="e">
        <f>AND(#REF!,"AAAAAD98/4k=")</f>
        <v>#REF!</v>
      </c>
      <c r="EI44" s="1" t="e">
        <f>AND(#REF!,"AAAAAD98/4o=")</f>
        <v>#REF!</v>
      </c>
      <c r="EJ44" s="1" t="e">
        <f>AND(#REF!,"AAAAAD98/4s=")</f>
        <v>#REF!</v>
      </c>
      <c r="EK44" s="1" t="e">
        <f>AND(#REF!,"AAAAAD98/4w=")</f>
        <v>#REF!</v>
      </c>
      <c r="EL44" s="1" t="e">
        <f>AND(#REF!,"AAAAAD98/40=")</f>
        <v>#REF!</v>
      </c>
      <c r="EM44" s="1" t="e">
        <f>AND(#REF!,"AAAAAD98/44=")</f>
        <v>#REF!</v>
      </c>
      <c r="EN44" s="1" t="e">
        <f>AND(#REF!,"AAAAAD98/48=")</f>
        <v>#REF!</v>
      </c>
      <c r="EO44" s="1" t="e">
        <f>AND(#REF!,"AAAAAD98/5A=")</f>
        <v>#REF!</v>
      </c>
      <c r="EP44" s="1" t="e">
        <f>AND(#REF!,"AAAAAD98/5E=")</f>
        <v>#REF!</v>
      </c>
      <c r="EQ44" s="1" t="e">
        <f>AND(#REF!,"AAAAAD98/5I=")</f>
        <v>#REF!</v>
      </c>
      <c r="ER44" s="1" t="e">
        <f>AND(#REF!,"AAAAAD98/5M=")</f>
        <v>#REF!</v>
      </c>
      <c r="ES44" s="1" t="e">
        <f>AND(#REF!,"AAAAAD98/5Q=")</f>
        <v>#REF!</v>
      </c>
      <c r="ET44" s="1" t="e">
        <f>AND(#REF!,"AAAAAD98/5U=")</f>
        <v>#REF!</v>
      </c>
      <c r="EU44" s="1" t="e">
        <f>AND(#REF!,"AAAAAD98/5Y=")</f>
        <v>#REF!</v>
      </c>
      <c r="EV44" s="1" t="e">
        <f>AND(#REF!,"AAAAAD98/5c=")</f>
        <v>#REF!</v>
      </c>
      <c r="EW44" s="1" t="e">
        <f>AND(#REF!,"AAAAAD98/5g=")</f>
        <v>#REF!</v>
      </c>
      <c r="EX44" s="1" t="e">
        <f>AND(#REF!,"AAAAAD98/5k=")</f>
        <v>#REF!</v>
      </c>
      <c r="EY44" s="1" t="e">
        <f>AND(#REF!,"AAAAAD98/5o=")</f>
        <v>#REF!</v>
      </c>
      <c r="EZ44" s="1" t="e">
        <f>AND(#REF!,"AAAAAD98/5s=")</f>
        <v>#REF!</v>
      </c>
      <c r="FA44" s="1" t="e">
        <f>AND(#REF!,"AAAAAD98/5w=")</f>
        <v>#REF!</v>
      </c>
      <c r="FB44" s="1" t="e">
        <f>AND(#REF!,"AAAAAD98/50=")</f>
        <v>#REF!</v>
      </c>
      <c r="FC44" s="1" t="e">
        <f>AND(#REF!,"AAAAAD98/54=")</f>
        <v>#REF!</v>
      </c>
      <c r="FD44" s="1" t="e">
        <f>AND(#REF!,"AAAAAD98/58=")</f>
        <v>#REF!</v>
      </c>
      <c r="FE44" s="1" t="e">
        <f>AND(#REF!,"AAAAAD98/6A=")</f>
        <v>#REF!</v>
      </c>
      <c r="FF44" s="1" t="e">
        <f>AND(#REF!,"AAAAAD98/6E=")</f>
        <v>#REF!</v>
      </c>
      <c r="FG44" s="1" t="e">
        <f>AND(#REF!,"AAAAAD98/6I=")</f>
        <v>#REF!</v>
      </c>
      <c r="FH44" s="1" t="e">
        <f>AND(#REF!,"AAAAAD98/6M=")</f>
        <v>#REF!</v>
      </c>
      <c r="FI44" s="1" t="e">
        <f>AND(#REF!,"AAAAAD98/6Q=")</f>
        <v>#REF!</v>
      </c>
      <c r="FJ44" s="1" t="e">
        <f>AND(#REF!,"AAAAAD98/6U=")</f>
        <v>#REF!</v>
      </c>
      <c r="FK44" s="1" t="e">
        <f>AND(#REF!,"AAAAAD98/6Y=")</f>
        <v>#REF!</v>
      </c>
      <c r="FL44" s="1" t="e">
        <f>AND(#REF!,"AAAAAD98/6c=")</f>
        <v>#REF!</v>
      </c>
      <c r="FM44" s="1" t="e">
        <f>AND(#REF!,"AAAAAD98/6g=")</f>
        <v>#REF!</v>
      </c>
      <c r="FN44" s="1" t="e">
        <f>AND(#REF!,"AAAAAD98/6k=")</f>
        <v>#REF!</v>
      </c>
      <c r="FO44" s="1" t="e">
        <f>IF(#REF!,"AAAAAD98/6o=",0)</f>
        <v>#REF!</v>
      </c>
      <c r="FP44" s="1" t="e">
        <f>AND(#REF!,"AAAAAD98/6s=")</f>
        <v>#REF!</v>
      </c>
      <c r="FQ44" s="1" t="e">
        <f>AND(#REF!,"AAAAAD98/6w=")</f>
        <v>#REF!</v>
      </c>
      <c r="FR44" s="1" t="e">
        <f>AND(#REF!,"AAAAAD98/60=")</f>
        <v>#REF!</v>
      </c>
      <c r="FS44" s="1" t="e">
        <f>AND(#REF!,"AAAAAD98/64=")</f>
        <v>#REF!</v>
      </c>
      <c r="FT44" s="1" t="e">
        <f>AND(#REF!,"AAAAAD98/68=")</f>
        <v>#REF!</v>
      </c>
      <c r="FU44" s="1" t="e">
        <f>AND(#REF!,"AAAAAD98/7A=")</f>
        <v>#REF!</v>
      </c>
      <c r="FV44" s="1" t="e">
        <f>AND(#REF!,"AAAAAD98/7E=")</f>
        <v>#REF!</v>
      </c>
      <c r="FW44" s="1" t="e">
        <f>AND(#REF!,"AAAAAD98/7I=")</f>
        <v>#REF!</v>
      </c>
      <c r="FX44" s="1" t="e">
        <f>AND(#REF!,"AAAAAD98/7M=")</f>
        <v>#REF!</v>
      </c>
      <c r="FY44" s="1" t="e">
        <f>AND(#REF!,"AAAAAD98/7Q=")</f>
        <v>#REF!</v>
      </c>
      <c r="FZ44" s="1" t="e">
        <f>AND(#REF!,"AAAAAD98/7U=")</f>
        <v>#REF!</v>
      </c>
      <c r="GA44" s="1" t="e">
        <f>AND(#REF!,"AAAAAD98/7Y=")</f>
        <v>#REF!</v>
      </c>
      <c r="GB44" s="1" t="e">
        <f>AND(#REF!,"AAAAAD98/7c=")</f>
        <v>#REF!</v>
      </c>
      <c r="GC44" s="1" t="e">
        <f>AND(#REF!,"AAAAAD98/7g=")</f>
        <v>#REF!</v>
      </c>
      <c r="GD44" s="1" t="e">
        <f>AND(#REF!,"AAAAAD98/7k=")</f>
        <v>#REF!</v>
      </c>
      <c r="GE44" s="1" t="e">
        <f>AND(#REF!,"AAAAAD98/7o=")</f>
        <v>#REF!</v>
      </c>
      <c r="GF44" s="1" t="e">
        <f>AND(#REF!,"AAAAAD98/7s=")</f>
        <v>#REF!</v>
      </c>
      <c r="GG44" s="1" t="e">
        <f>AND(#REF!,"AAAAAD98/7w=")</f>
        <v>#REF!</v>
      </c>
      <c r="GH44" s="1" t="e">
        <f>AND(#REF!,"AAAAAD98/70=")</f>
        <v>#REF!</v>
      </c>
      <c r="GI44" s="1" t="e">
        <f>AND(#REF!,"AAAAAD98/74=")</f>
        <v>#REF!</v>
      </c>
      <c r="GJ44" s="1" t="e">
        <f>AND(#REF!,"AAAAAD98/78=")</f>
        <v>#REF!</v>
      </c>
      <c r="GK44" s="1" t="e">
        <f>AND(#REF!,"AAAAAD98/8A=")</f>
        <v>#REF!</v>
      </c>
      <c r="GL44" s="1" t="e">
        <f>AND(#REF!,"AAAAAD98/8E=")</f>
        <v>#REF!</v>
      </c>
      <c r="GM44" s="1" t="e">
        <f>AND(#REF!,"AAAAAD98/8I=")</f>
        <v>#REF!</v>
      </c>
      <c r="GN44" s="1" t="e">
        <f>AND(#REF!,"AAAAAD98/8M=")</f>
        <v>#REF!</v>
      </c>
      <c r="GO44" s="1" t="e">
        <f>AND(#REF!,"AAAAAD98/8Q=")</f>
        <v>#REF!</v>
      </c>
      <c r="GP44" s="1" t="e">
        <f>AND(#REF!,"AAAAAD98/8U=")</f>
        <v>#REF!</v>
      </c>
      <c r="GQ44" s="1" t="e">
        <f>AND(#REF!,"AAAAAD98/8Y=")</f>
        <v>#REF!</v>
      </c>
      <c r="GR44" s="1" t="e">
        <f>AND(#REF!,"AAAAAD98/8c=")</f>
        <v>#REF!</v>
      </c>
      <c r="GS44" s="1" t="e">
        <f>AND(#REF!,"AAAAAD98/8g=")</f>
        <v>#REF!</v>
      </c>
      <c r="GT44" s="1" t="e">
        <f>AND(#REF!,"AAAAAD98/8k=")</f>
        <v>#REF!</v>
      </c>
      <c r="GU44" s="1" t="e">
        <f>AND(#REF!,"AAAAAD98/8o=")</f>
        <v>#REF!</v>
      </c>
      <c r="GV44" s="1" t="e">
        <f>AND(#REF!,"AAAAAD98/8s=")</f>
        <v>#REF!</v>
      </c>
      <c r="GW44" s="1" t="e">
        <f>AND(#REF!,"AAAAAD98/8w=")</f>
        <v>#REF!</v>
      </c>
      <c r="GX44" s="1" t="e">
        <f>AND(#REF!,"AAAAAD98/80=")</f>
        <v>#REF!</v>
      </c>
      <c r="GY44" s="1" t="e">
        <f>AND(#REF!,"AAAAAD98/84=")</f>
        <v>#REF!</v>
      </c>
      <c r="GZ44" s="1" t="e">
        <f>AND(#REF!,"AAAAAD98/88=")</f>
        <v>#REF!</v>
      </c>
      <c r="HA44" s="1" t="e">
        <f>AND(#REF!,"AAAAAD98/9A=")</f>
        <v>#REF!</v>
      </c>
      <c r="HB44" s="1" t="e">
        <f>AND(#REF!,"AAAAAD98/9E=")</f>
        <v>#REF!</v>
      </c>
      <c r="HC44" s="1" t="e">
        <f>AND(#REF!,"AAAAAD98/9I=")</f>
        <v>#REF!</v>
      </c>
      <c r="HD44" s="1" t="e">
        <f>AND(#REF!,"AAAAAD98/9M=")</f>
        <v>#REF!</v>
      </c>
      <c r="HE44" s="1" t="e">
        <f>AND(#REF!,"AAAAAD98/9Q=")</f>
        <v>#REF!</v>
      </c>
      <c r="HF44" s="1" t="e">
        <f>AND(#REF!,"AAAAAD98/9U=")</f>
        <v>#REF!</v>
      </c>
      <c r="HG44" s="1" t="e">
        <f>AND(#REF!,"AAAAAD98/9Y=")</f>
        <v>#REF!</v>
      </c>
      <c r="HH44" s="1" t="e">
        <f>AND(#REF!,"AAAAAD98/9c=")</f>
        <v>#REF!</v>
      </c>
      <c r="HI44" s="1" t="e">
        <f>AND(#REF!,"AAAAAD98/9g=")</f>
        <v>#REF!</v>
      </c>
      <c r="HJ44" s="1" t="e">
        <f>AND(#REF!,"AAAAAD98/9k=")</f>
        <v>#REF!</v>
      </c>
      <c r="HK44" s="1" t="e">
        <f>AND(#REF!,"AAAAAD98/9o=")</f>
        <v>#REF!</v>
      </c>
      <c r="HL44" s="1" t="e">
        <f>AND(#REF!,"AAAAAD98/9s=")</f>
        <v>#REF!</v>
      </c>
      <c r="HM44" s="1" t="e">
        <f>AND(#REF!,"AAAAAD98/9w=")</f>
        <v>#REF!</v>
      </c>
      <c r="HN44" s="1" t="e">
        <f>AND(#REF!,"AAAAAD98/90=")</f>
        <v>#REF!</v>
      </c>
      <c r="HO44" s="1" t="e">
        <f>AND(#REF!,"AAAAAD98/94=")</f>
        <v>#REF!</v>
      </c>
      <c r="HP44" s="1" t="e">
        <f>AND(#REF!,"AAAAAD98/98=")</f>
        <v>#REF!</v>
      </c>
      <c r="HQ44" s="1" t="e">
        <f>AND(#REF!,"AAAAAD98/+A=")</f>
        <v>#REF!</v>
      </c>
      <c r="HR44" s="1" t="e">
        <f>AND(#REF!,"AAAAAD98/+E=")</f>
        <v>#REF!</v>
      </c>
      <c r="HS44" s="1" t="e">
        <f>AND(#REF!,"AAAAAD98/+I=")</f>
        <v>#REF!</v>
      </c>
      <c r="HT44" s="1" t="e">
        <f>AND(#REF!,"AAAAAD98/+M=")</f>
        <v>#REF!</v>
      </c>
      <c r="HU44" s="1" t="e">
        <f>AND(#REF!,"AAAAAD98/+Q=")</f>
        <v>#REF!</v>
      </c>
      <c r="HV44" s="1" t="e">
        <f>AND(#REF!,"AAAAAD98/+U=")</f>
        <v>#REF!</v>
      </c>
      <c r="HW44" s="1" t="e">
        <f>AND(#REF!,"AAAAAD98/+Y=")</f>
        <v>#REF!</v>
      </c>
      <c r="HX44" s="1" t="e">
        <f>AND(#REF!,"AAAAAD98/+c=")</f>
        <v>#REF!</v>
      </c>
      <c r="HY44" s="1" t="e">
        <f>AND(#REF!,"AAAAAD98/+g=")</f>
        <v>#REF!</v>
      </c>
      <c r="HZ44" s="1" t="e">
        <f>AND(#REF!,"AAAAAD98/+k=")</f>
        <v>#REF!</v>
      </c>
      <c r="IA44" s="1" t="e">
        <f>AND(#REF!,"AAAAAD98/+o=")</f>
        <v>#REF!</v>
      </c>
      <c r="IB44" s="1" t="e">
        <f>AND(#REF!,"AAAAAD98/+s=")</f>
        <v>#REF!</v>
      </c>
      <c r="IC44" s="1" t="e">
        <f>AND(#REF!,"AAAAAD98/+w=")</f>
        <v>#REF!</v>
      </c>
      <c r="ID44" s="1" t="e">
        <f>AND(#REF!,"AAAAAD98/+0=")</f>
        <v>#REF!</v>
      </c>
      <c r="IE44" s="1" t="e">
        <f>AND(#REF!,"AAAAAD98/+4=")</f>
        <v>#REF!</v>
      </c>
      <c r="IF44" s="1" t="e">
        <f>AND(#REF!,"AAAAAD98/+8=")</f>
        <v>#REF!</v>
      </c>
      <c r="IG44" s="1" t="e">
        <f>AND(#REF!,"AAAAAD98//A=")</f>
        <v>#REF!</v>
      </c>
      <c r="IH44" s="1" t="e">
        <f>AND(#REF!,"AAAAAD98//E=")</f>
        <v>#REF!</v>
      </c>
      <c r="II44" s="1" t="e">
        <f>AND(#REF!,"AAAAAD98//I=")</f>
        <v>#REF!</v>
      </c>
      <c r="IJ44" s="1" t="e">
        <f>AND(#REF!,"AAAAAD98//M=")</f>
        <v>#REF!</v>
      </c>
      <c r="IK44" s="1" t="e">
        <f>AND(#REF!,"AAAAAD98//Q=")</f>
        <v>#REF!</v>
      </c>
      <c r="IL44" s="1" t="e">
        <f>AND(#REF!,"AAAAAD98//U=")</f>
        <v>#REF!</v>
      </c>
      <c r="IM44" s="1" t="e">
        <f>AND(#REF!,"AAAAAD98//Y=")</f>
        <v>#REF!</v>
      </c>
      <c r="IN44" s="1" t="e">
        <f>AND(#REF!,"AAAAAD98//c=")</f>
        <v>#REF!</v>
      </c>
      <c r="IO44" s="1" t="e">
        <f>AND(#REF!,"AAAAAD98//g=")</f>
        <v>#REF!</v>
      </c>
      <c r="IP44" s="1" t="e">
        <f>AND(#REF!,"AAAAAD98//k=")</f>
        <v>#REF!</v>
      </c>
      <c r="IQ44" s="1" t="e">
        <f>AND(#REF!,"AAAAAD98//o=")</f>
        <v>#REF!</v>
      </c>
      <c r="IR44" s="1" t="e">
        <f>AND(#REF!,"AAAAAD98//s=")</f>
        <v>#REF!</v>
      </c>
      <c r="IS44" s="1" t="e">
        <f>AND(#REF!,"AAAAAD98//w=")</f>
        <v>#REF!</v>
      </c>
      <c r="IT44" s="1" t="e">
        <f>AND(#REF!,"AAAAAD98//0=")</f>
        <v>#REF!</v>
      </c>
      <c r="IU44" s="1" t="e">
        <f>AND(#REF!,"AAAAAD98//4=")</f>
        <v>#REF!</v>
      </c>
      <c r="IV44" s="1" t="e">
        <f>AND(#REF!,"AAAAAD98//8=")</f>
        <v>#REF!</v>
      </c>
    </row>
    <row r="45" spans="1:256" ht="15" customHeight="1" x14ac:dyDescent="0.2">
      <c r="A45" s="1" t="e">
        <f>AND(#REF!,"AAAAAGf5/wA=")</f>
        <v>#REF!</v>
      </c>
      <c r="B45" s="1" t="e">
        <f>AND(#REF!,"AAAAAGf5/wE=")</f>
        <v>#REF!</v>
      </c>
      <c r="C45" s="1" t="e">
        <f>AND(#REF!,"AAAAAGf5/wI=")</f>
        <v>#REF!</v>
      </c>
      <c r="D45" s="1" t="e">
        <f>AND(#REF!,"AAAAAGf5/wM=")</f>
        <v>#REF!</v>
      </c>
      <c r="E45" s="1" t="e">
        <f>AND(#REF!,"AAAAAGf5/wQ=")</f>
        <v>#REF!</v>
      </c>
      <c r="F45" s="1" t="e">
        <f>AND(#REF!,"AAAAAGf5/wU=")</f>
        <v>#REF!</v>
      </c>
      <c r="G45" s="1" t="e">
        <f>AND(#REF!,"AAAAAGf5/wY=")</f>
        <v>#REF!</v>
      </c>
      <c r="H45" s="1" t="e">
        <f>AND(#REF!,"AAAAAGf5/wc=")</f>
        <v>#REF!</v>
      </c>
      <c r="I45" s="1" t="e">
        <f>AND(#REF!,"AAAAAGf5/wg=")</f>
        <v>#REF!</v>
      </c>
      <c r="J45" s="1" t="e">
        <f>AND(#REF!,"AAAAAGf5/wk=")</f>
        <v>#REF!</v>
      </c>
      <c r="K45" s="1" t="e">
        <f>AND(#REF!,"AAAAAGf5/wo=")</f>
        <v>#REF!</v>
      </c>
      <c r="L45" s="1" t="e">
        <f>AND(#REF!,"AAAAAGf5/ws=")</f>
        <v>#REF!</v>
      </c>
      <c r="M45" s="1" t="e">
        <f>AND(#REF!,"AAAAAGf5/ww=")</f>
        <v>#REF!</v>
      </c>
      <c r="N45" s="1" t="e">
        <f>AND(#REF!,"AAAAAGf5/w0=")</f>
        <v>#REF!</v>
      </c>
      <c r="O45" s="1" t="e">
        <f>AND(#REF!,"AAAAAGf5/w4=")</f>
        <v>#REF!</v>
      </c>
      <c r="P45" s="1" t="e">
        <f>AND(#REF!,"AAAAAGf5/w8=")</f>
        <v>#REF!</v>
      </c>
      <c r="Q45" s="1" t="e">
        <f>AND(#REF!,"AAAAAGf5/xA=")</f>
        <v>#REF!</v>
      </c>
      <c r="R45" s="1" t="e">
        <f>IF(#REF!,"AAAAAGf5/xE=",0)</f>
        <v>#REF!</v>
      </c>
      <c r="S45" s="1" t="e">
        <f>AND(#REF!,"AAAAAGf5/xI=")</f>
        <v>#REF!</v>
      </c>
      <c r="T45" s="1" t="e">
        <f>AND(#REF!,"AAAAAGf5/xM=")</f>
        <v>#REF!</v>
      </c>
      <c r="U45" s="1" t="e">
        <f>AND(#REF!,"AAAAAGf5/xQ=")</f>
        <v>#REF!</v>
      </c>
      <c r="V45" s="1" t="e">
        <f>AND(#REF!,"AAAAAGf5/xU=")</f>
        <v>#REF!</v>
      </c>
      <c r="W45" s="1" t="e">
        <f>AND(#REF!,"AAAAAGf5/xY=")</f>
        <v>#REF!</v>
      </c>
      <c r="X45" s="1" t="e">
        <f>AND(#REF!,"AAAAAGf5/xc=")</f>
        <v>#REF!</v>
      </c>
      <c r="Y45" s="1" t="e">
        <f>AND(#REF!,"AAAAAGf5/xg=")</f>
        <v>#REF!</v>
      </c>
      <c r="Z45" s="1" t="e">
        <f>AND(#REF!,"AAAAAGf5/xk=")</f>
        <v>#REF!</v>
      </c>
      <c r="AA45" s="1" t="e">
        <f>AND(#REF!,"AAAAAGf5/xo=")</f>
        <v>#REF!</v>
      </c>
      <c r="AB45" s="1" t="e">
        <f>AND(#REF!,"AAAAAGf5/xs=")</f>
        <v>#REF!</v>
      </c>
      <c r="AC45" s="1" t="e">
        <f>AND(#REF!,"AAAAAGf5/xw=")</f>
        <v>#REF!</v>
      </c>
      <c r="AD45" s="1" t="e">
        <f>AND(#REF!,"AAAAAGf5/x0=")</f>
        <v>#REF!</v>
      </c>
      <c r="AE45" s="1" t="e">
        <f>AND(#REF!,"AAAAAGf5/x4=")</f>
        <v>#REF!</v>
      </c>
      <c r="AF45" s="1" t="e">
        <f>AND(#REF!,"AAAAAGf5/x8=")</f>
        <v>#REF!</v>
      </c>
      <c r="AG45" s="1" t="e">
        <f>AND(#REF!,"AAAAAGf5/yA=")</f>
        <v>#REF!</v>
      </c>
      <c r="AH45" s="1" t="e">
        <f>AND(#REF!,"AAAAAGf5/yE=")</f>
        <v>#REF!</v>
      </c>
      <c r="AI45" s="1" t="e">
        <f>AND(#REF!,"AAAAAGf5/yI=")</f>
        <v>#REF!</v>
      </c>
      <c r="AJ45" s="1" t="e">
        <f>AND(#REF!,"AAAAAGf5/yM=")</f>
        <v>#REF!</v>
      </c>
      <c r="AK45" s="1" t="e">
        <f>AND(#REF!,"AAAAAGf5/yQ=")</f>
        <v>#REF!</v>
      </c>
      <c r="AL45" s="1" t="e">
        <f>AND(#REF!,"AAAAAGf5/yU=")</f>
        <v>#REF!</v>
      </c>
      <c r="AM45" s="1" t="e">
        <f>AND(#REF!,"AAAAAGf5/yY=")</f>
        <v>#REF!</v>
      </c>
      <c r="AN45" s="1" t="e">
        <f>AND(#REF!,"AAAAAGf5/yc=")</f>
        <v>#REF!</v>
      </c>
      <c r="AO45" s="1" t="e">
        <f>AND(#REF!,"AAAAAGf5/yg=")</f>
        <v>#REF!</v>
      </c>
      <c r="AP45" s="1" t="e">
        <f>AND(#REF!,"AAAAAGf5/yk=")</f>
        <v>#REF!</v>
      </c>
      <c r="AQ45" s="1" t="e">
        <f>AND(#REF!,"AAAAAGf5/yo=")</f>
        <v>#REF!</v>
      </c>
      <c r="AR45" s="1" t="e">
        <f>AND(#REF!,"AAAAAGf5/ys=")</f>
        <v>#REF!</v>
      </c>
      <c r="AS45" s="1" t="e">
        <f>AND(#REF!,"AAAAAGf5/yw=")</f>
        <v>#REF!</v>
      </c>
      <c r="AT45" s="1" t="e">
        <f>AND(#REF!,"AAAAAGf5/y0=")</f>
        <v>#REF!</v>
      </c>
      <c r="AU45" s="1" t="e">
        <f>AND(#REF!,"AAAAAGf5/y4=")</f>
        <v>#REF!</v>
      </c>
      <c r="AV45" s="1" t="e">
        <f>AND(#REF!,"AAAAAGf5/y8=")</f>
        <v>#REF!</v>
      </c>
      <c r="AW45" s="1" t="e">
        <f>AND(#REF!,"AAAAAGf5/zA=")</f>
        <v>#REF!</v>
      </c>
      <c r="AX45" s="1" t="e">
        <f>AND(#REF!,"AAAAAGf5/zE=")</f>
        <v>#REF!</v>
      </c>
      <c r="AY45" s="1" t="e">
        <f>AND(#REF!,"AAAAAGf5/zI=")</f>
        <v>#REF!</v>
      </c>
      <c r="AZ45" s="1" t="e">
        <f>AND(#REF!,"AAAAAGf5/zM=")</f>
        <v>#REF!</v>
      </c>
      <c r="BA45" s="1" t="e">
        <f>AND(#REF!,"AAAAAGf5/zQ=")</f>
        <v>#REF!</v>
      </c>
      <c r="BB45" s="1" t="e">
        <f>AND(#REF!,"AAAAAGf5/zU=")</f>
        <v>#REF!</v>
      </c>
      <c r="BC45" s="1" t="e">
        <f>AND(#REF!,"AAAAAGf5/zY=")</f>
        <v>#REF!</v>
      </c>
      <c r="BD45" s="1" t="e">
        <f>AND(#REF!,"AAAAAGf5/zc=")</f>
        <v>#REF!</v>
      </c>
      <c r="BE45" s="1" t="e">
        <f>AND(#REF!,"AAAAAGf5/zg=")</f>
        <v>#REF!</v>
      </c>
      <c r="BF45" s="1" t="e">
        <f>AND(#REF!,"AAAAAGf5/zk=")</f>
        <v>#REF!</v>
      </c>
      <c r="BG45" s="1" t="e">
        <f>AND(#REF!,"AAAAAGf5/zo=")</f>
        <v>#REF!</v>
      </c>
      <c r="BH45" s="1" t="e">
        <f>AND(#REF!,"AAAAAGf5/zs=")</f>
        <v>#REF!</v>
      </c>
      <c r="BI45" s="1" t="e">
        <f>AND(#REF!,"AAAAAGf5/zw=")</f>
        <v>#REF!</v>
      </c>
      <c r="BJ45" s="1" t="e">
        <f>AND(#REF!,"AAAAAGf5/z0=")</f>
        <v>#REF!</v>
      </c>
      <c r="BK45" s="1" t="e">
        <f>AND(#REF!,"AAAAAGf5/z4=")</f>
        <v>#REF!</v>
      </c>
      <c r="BL45" s="1" t="e">
        <f>AND(#REF!,"AAAAAGf5/z8=")</f>
        <v>#REF!</v>
      </c>
      <c r="BM45" s="1" t="e">
        <f>AND(#REF!,"AAAAAGf5/0A=")</f>
        <v>#REF!</v>
      </c>
      <c r="BN45" s="1" t="e">
        <f>AND(#REF!,"AAAAAGf5/0E=")</f>
        <v>#REF!</v>
      </c>
      <c r="BO45" s="1" t="e">
        <f>AND(#REF!,"AAAAAGf5/0I=")</f>
        <v>#REF!</v>
      </c>
      <c r="BP45" s="1" t="e">
        <f>AND(#REF!,"AAAAAGf5/0M=")</f>
        <v>#REF!</v>
      </c>
      <c r="BQ45" s="1" t="e">
        <f>AND(#REF!,"AAAAAGf5/0Q=")</f>
        <v>#REF!</v>
      </c>
      <c r="BR45" s="1" t="e">
        <f>AND(#REF!,"AAAAAGf5/0U=")</f>
        <v>#REF!</v>
      </c>
      <c r="BS45" s="1" t="e">
        <f>AND(#REF!,"AAAAAGf5/0Y=")</f>
        <v>#REF!</v>
      </c>
      <c r="BT45" s="1" t="e">
        <f>AND(#REF!,"AAAAAGf5/0c=")</f>
        <v>#REF!</v>
      </c>
      <c r="BU45" s="1" t="e">
        <f>AND(#REF!,"AAAAAGf5/0g=")</f>
        <v>#REF!</v>
      </c>
      <c r="BV45" s="1" t="e">
        <f>AND(#REF!,"AAAAAGf5/0k=")</f>
        <v>#REF!</v>
      </c>
      <c r="BW45" s="1" t="e">
        <f>AND(#REF!,"AAAAAGf5/0o=")</f>
        <v>#REF!</v>
      </c>
      <c r="BX45" s="1" t="e">
        <f>AND(#REF!,"AAAAAGf5/0s=")</f>
        <v>#REF!</v>
      </c>
      <c r="BY45" s="1" t="e">
        <f>AND(#REF!,"AAAAAGf5/0w=")</f>
        <v>#REF!</v>
      </c>
      <c r="BZ45" s="1" t="e">
        <f>AND(#REF!,"AAAAAGf5/00=")</f>
        <v>#REF!</v>
      </c>
      <c r="CA45" s="1" t="e">
        <f>AND(#REF!,"AAAAAGf5/04=")</f>
        <v>#REF!</v>
      </c>
      <c r="CB45" s="1" t="e">
        <f>AND(#REF!,"AAAAAGf5/08=")</f>
        <v>#REF!</v>
      </c>
      <c r="CC45" s="1" t="e">
        <f>AND(#REF!,"AAAAAGf5/1A=")</f>
        <v>#REF!</v>
      </c>
      <c r="CD45" s="1" t="e">
        <f>AND(#REF!,"AAAAAGf5/1E=")</f>
        <v>#REF!</v>
      </c>
      <c r="CE45" s="1" t="e">
        <f>AND(#REF!,"AAAAAGf5/1I=")</f>
        <v>#REF!</v>
      </c>
      <c r="CF45" s="1" t="e">
        <f>AND(#REF!,"AAAAAGf5/1M=")</f>
        <v>#REF!</v>
      </c>
      <c r="CG45" s="1" t="e">
        <f>AND(#REF!,"AAAAAGf5/1Q=")</f>
        <v>#REF!</v>
      </c>
      <c r="CH45" s="1" t="e">
        <f>AND(#REF!,"AAAAAGf5/1U=")</f>
        <v>#REF!</v>
      </c>
      <c r="CI45" s="1" t="e">
        <f>AND(#REF!,"AAAAAGf5/1Y=")</f>
        <v>#REF!</v>
      </c>
      <c r="CJ45" s="1" t="e">
        <f>AND(#REF!,"AAAAAGf5/1c=")</f>
        <v>#REF!</v>
      </c>
      <c r="CK45" s="1" t="e">
        <f>AND(#REF!,"AAAAAGf5/1g=")</f>
        <v>#REF!</v>
      </c>
      <c r="CL45" s="1" t="e">
        <f>AND(#REF!,"AAAAAGf5/1k=")</f>
        <v>#REF!</v>
      </c>
      <c r="CM45" s="1" t="e">
        <f>AND(#REF!,"AAAAAGf5/1o=")</f>
        <v>#REF!</v>
      </c>
      <c r="CN45" s="1" t="e">
        <f>AND(#REF!,"AAAAAGf5/1s=")</f>
        <v>#REF!</v>
      </c>
      <c r="CO45" s="1" t="e">
        <f>AND(#REF!,"AAAAAGf5/1w=")</f>
        <v>#REF!</v>
      </c>
      <c r="CP45" s="1" t="e">
        <f>AND(#REF!,"AAAAAGf5/10=")</f>
        <v>#REF!</v>
      </c>
      <c r="CQ45" s="1" t="e">
        <f>AND(#REF!,"AAAAAGf5/14=")</f>
        <v>#REF!</v>
      </c>
      <c r="CR45" s="1" t="e">
        <f>AND(#REF!,"AAAAAGf5/18=")</f>
        <v>#REF!</v>
      </c>
      <c r="CS45" s="1" t="e">
        <f>AND(#REF!,"AAAAAGf5/2A=")</f>
        <v>#REF!</v>
      </c>
      <c r="CT45" s="1" t="e">
        <f>AND(#REF!,"AAAAAGf5/2E=")</f>
        <v>#REF!</v>
      </c>
      <c r="CU45" s="1" t="e">
        <f>AND(#REF!,"AAAAAGf5/2I=")</f>
        <v>#REF!</v>
      </c>
      <c r="CV45" s="1" t="e">
        <f>AND(#REF!,"AAAAAGf5/2M=")</f>
        <v>#REF!</v>
      </c>
      <c r="CW45" s="1" t="e">
        <f>AND(#REF!,"AAAAAGf5/2Q=")</f>
        <v>#REF!</v>
      </c>
      <c r="CX45" s="1" t="e">
        <f>AND(#REF!,"AAAAAGf5/2U=")</f>
        <v>#REF!</v>
      </c>
      <c r="CY45" s="1" t="e">
        <f>AND(#REF!,"AAAAAGf5/2Y=")</f>
        <v>#REF!</v>
      </c>
      <c r="CZ45" s="1" t="e">
        <f>AND(#REF!,"AAAAAGf5/2c=")</f>
        <v>#REF!</v>
      </c>
      <c r="DA45" s="1" t="e">
        <f>AND(#REF!,"AAAAAGf5/2g=")</f>
        <v>#REF!</v>
      </c>
      <c r="DB45" s="1" t="e">
        <f>AND(#REF!,"AAAAAGf5/2k=")</f>
        <v>#REF!</v>
      </c>
      <c r="DC45" s="1" t="e">
        <f>AND(#REF!,"AAAAAGf5/2o=")</f>
        <v>#REF!</v>
      </c>
      <c r="DD45" s="1" t="e">
        <f>AND(#REF!,"AAAAAGf5/2s=")</f>
        <v>#REF!</v>
      </c>
      <c r="DE45" s="1" t="e">
        <f>AND(#REF!,"AAAAAGf5/2w=")</f>
        <v>#REF!</v>
      </c>
      <c r="DF45" s="1" t="e">
        <f>AND(#REF!,"AAAAAGf5/20=")</f>
        <v>#REF!</v>
      </c>
      <c r="DG45" s="1" t="e">
        <f>AND(#REF!,"AAAAAGf5/24=")</f>
        <v>#REF!</v>
      </c>
      <c r="DH45" s="1" t="e">
        <f>AND(#REF!,"AAAAAGf5/28=")</f>
        <v>#REF!</v>
      </c>
      <c r="DI45" s="1" t="e">
        <f>AND(#REF!,"AAAAAGf5/3A=")</f>
        <v>#REF!</v>
      </c>
      <c r="DJ45" s="1" t="e">
        <f>AND(#REF!,"AAAAAGf5/3E=")</f>
        <v>#REF!</v>
      </c>
      <c r="DK45" s="1" t="e">
        <f>AND(#REF!,"AAAAAGf5/3I=")</f>
        <v>#REF!</v>
      </c>
      <c r="DL45" s="1" t="e">
        <f>AND(#REF!,"AAAAAGf5/3M=")</f>
        <v>#REF!</v>
      </c>
      <c r="DM45" s="1" t="e">
        <f>AND(#REF!,"AAAAAGf5/3Q=")</f>
        <v>#REF!</v>
      </c>
      <c r="DN45" s="1" t="e">
        <f>AND(#REF!,"AAAAAGf5/3U=")</f>
        <v>#REF!</v>
      </c>
      <c r="DO45" s="1" t="e">
        <f>AND(#REF!,"AAAAAGf5/3Y=")</f>
        <v>#REF!</v>
      </c>
      <c r="DP45" s="1" t="e">
        <f>AND(#REF!,"AAAAAGf5/3c=")</f>
        <v>#REF!</v>
      </c>
      <c r="DQ45" s="1" t="e">
        <f>IF(#REF!,"AAAAAGf5/3g=",0)</f>
        <v>#REF!</v>
      </c>
      <c r="DR45" s="1" t="e">
        <f>AND(#REF!,"AAAAAGf5/3k=")</f>
        <v>#REF!</v>
      </c>
      <c r="DS45" s="1" t="e">
        <f>AND(#REF!,"AAAAAGf5/3o=")</f>
        <v>#REF!</v>
      </c>
      <c r="DT45" s="1" t="e">
        <f>AND(#REF!,"AAAAAGf5/3s=")</f>
        <v>#REF!</v>
      </c>
      <c r="DU45" s="1" t="e">
        <f>AND(#REF!,"AAAAAGf5/3w=")</f>
        <v>#REF!</v>
      </c>
      <c r="DV45" s="1" t="e">
        <f>AND(#REF!,"AAAAAGf5/30=")</f>
        <v>#REF!</v>
      </c>
      <c r="DW45" s="1" t="e">
        <f>AND(#REF!,"AAAAAGf5/34=")</f>
        <v>#REF!</v>
      </c>
      <c r="DX45" s="1" t="e">
        <f>AND(#REF!,"AAAAAGf5/38=")</f>
        <v>#REF!</v>
      </c>
      <c r="DY45" s="1" t="e">
        <f>AND(#REF!,"AAAAAGf5/4A=")</f>
        <v>#REF!</v>
      </c>
      <c r="DZ45" s="1" t="e">
        <f>AND(#REF!,"AAAAAGf5/4E=")</f>
        <v>#REF!</v>
      </c>
      <c r="EA45" s="1" t="e">
        <f>AND(#REF!,"AAAAAGf5/4I=")</f>
        <v>#REF!</v>
      </c>
      <c r="EB45" s="1" t="e">
        <f>AND(#REF!,"AAAAAGf5/4M=")</f>
        <v>#REF!</v>
      </c>
      <c r="EC45" s="1" t="e">
        <f>AND(#REF!,"AAAAAGf5/4Q=")</f>
        <v>#REF!</v>
      </c>
      <c r="ED45" s="1" t="e">
        <f>AND(#REF!,"AAAAAGf5/4U=")</f>
        <v>#REF!</v>
      </c>
      <c r="EE45" s="1" t="e">
        <f>AND(#REF!,"AAAAAGf5/4Y=")</f>
        <v>#REF!</v>
      </c>
      <c r="EF45" s="1" t="e">
        <f>AND(#REF!,"AAAAAGf5/4c=")</f>
        <v>#REF!</v>
      </c>
      <c r="EG45" s="1" t="e">
        <f>AND(#REF!,"AAAAAGf5/4g=")</f>
        <v>#REF!</v>
      </c>
      <c r="EH45" s="1" t="e">
        <f>AND(#REF!,"AAAAAGf5/4k=")</f>
        <v>#REF!</v>
      </c>
      <c r="EI45" s="1" t="e">
        <f>AND(#REF!,"AAAAAGf5/4o=")</f>
        <v>#REF!</v>
      </c>
      <c r="EJ45" s="1" t="e">
        <f>AND(#REF!,"AAAAAGf5/4s=")</f>
        <v>#REF!</v>
      </c>
      <c r="EK45" s="1" t="e">
        <f>AND(#REF!,"AAAAAGf5/4w=")</f>
        <v>#REF!</v>
      </c>
      <c r="EL45" s="1" t="e">
        <f>AND(#REF!,"AAAAAGf5/40=")</f>
        <v>#REF!</v>
      </c>
      <c r="EM45" s="1" t="e">
        <f>AND(#REF!,"AAAAAGf5/44=")</f>
        <v>#REF!</v>
      </c>
      <c r="EN45" s="1" t="e">
        <f>AND(#REF!,"AAAAAGf5/48=")</f>
        <v>#REF!</v>
      </c>
      <c r="EO45" s="1" t="e">
        <f>AND(#REF!,"AAAAAGf5/5A=")</f>
        <v>#REF!</v>
      </c>
      <c r="EP45" s="1" t="e">
        <f>AND(#REF!,"AAAAAGf5/5E=")</f>
        <v>#REF!</v>
      </c>
      <c r="EQ45" s="1" t="e">
        <f>AND(#REF!,"AAAAAGf5/5I=")</f>
        <v>#REF!</v>
      </c>
      <c r="ER45" s="1" t="e">
        <f>AND(#REF!,"AAAAAGf5/5M=")</f>
        <v>#REF!</v>
      </c>
      <c r="ES45" s="1" t="e">
        <f>AND(#REF!,"AAAAAGf5/5Q=")</f>
        <v>#REF!</v>
      </c>
      <c r="ET45" s="1" t="e">
        <f>AND(#REF!,"AAAAAGf5/5U=")</f>
        <v>#REF!</v>
      </c>
      <c r="EU45" s="1" t="e">
        <f>AND(#REF!,"AAAAAGf5/5Y=")</f>
        <v>#REF!</v>
      </c>
      <c r="EV45" s="1" t="e">
        <f>AND(#REF!,"AAAAAGf5/5c=")</f>
        <v>#REF!</v>
      </c>
      <c r="EW45" s="1" t="e">
        <f>AND(#REF!,"AAAAAGf5/5g=")</f>
        <v>#REF!</v>
      </c>
      <c r="EX45" s="1" t="e">
        <f>AND(#REF!,"AAAAAGf5/5k=")</f>
        <v>#REF!</v>
      </c>
      <c r="EY45" s="1" t="e">
        <f>AND(#REF!,"AAAAAGf5/5o=")</f>
        <v>#REF!</v>
      </c>
      <c r="EZ45" s="1" t="e">
        <f>AND(#REF!,"AAAAAGf5/5s=")</f>
        <v>#REF!</v>
      </c>
      <c r="FA45" s="1" t="e">
        <f>AND(#REF!,"AAAAAGf5/5w=")</f>
        <v>#REF!</v>
      </c>
      <c r="FB45" s="1" t="e">
        <f>AND(#REF!,"AAAAAGf5/50=")</f>
        <v>#REF!</v>
      </c>
      <c r="FC45" s="1" t="e">
        <f>AND(#REF!,"AAAAAGf5/54=")</f>
        <v>#REF!</v>
      </c>
      <c r="FD45" s="1" t="e">
        <f>AND(#REF!,"AAAAAGf5/58=")</f>
        <v>#REF!</v>
      </c>
      <c r="FE45" s="1" t="e">
        <f>AND(#REF!,"AAAAAGf5/6A=")</f>
        <v>#REF!</v>
      </c>
      <c r="FF45" s="1" t="e">
        <f>AND(#REF!,"AAAAAGf5/6E=")</f>
        <v>#REF!</v>
      </c>
      <c r="FG45" s="1" t="e">
        <f>AND(#REF!,"AAAAAGf5/6I=")</f>
        <v>#REF!</v>
      </c>
      <c r="FH45" s="1" t="e">
        <f>AND(#REF!,"AAAAAGf5/6M=")</f>
        <v>#REF!</v>
      </c>
      <c r="FI45" s="1" t="e">
        <f>AND(#REF!,"AAAAAGf5/6Q=")</f>
        <v>#REF!</v>
      </c>
      <c r="FJ45" s="1" t="e">
        <f>AND(#REF!,"AAAAAGf5/6U=")</f>
        <v>#REF!</v>
      </c>
      <c r="FK45" s="1" t="e">
        <f>AND(#REF!,"AAAAAGf5/6Y=")</f>
        <v>#REF!</v>
      </c>
      <c r="FL45" s="1" t="e">
        <f>AND(#REF!,"AAAAAGf5/6c=")</f>
        <v>#REF!</v>
      </c>
      <c r="FM45" s="1" t="e">
        <f>AND(#REF!,"AAAAAGf5/6g=")</f>
        <v>#REF!</v>
      </c>
      <c r="FN45" s="1" t="e">
        <f>AND(#REF!,"AAAAAGf5/6k=")</f>
        <v>#REF!</v>
      </c>
      <c r="FO45" s="1" t="e">
        <f>AND(#REF!,"AAAAAGf5/6o=")</f>
        <v>#REF!</v>
      </c>
      <c r="FP45" s="1" t="e">
        <f>AND(#REF!,"AAAAAGf5/6s=")</f>
        <v>#REF!</v>
      </c>
      <c r="FQ45" s="1" t="e">
        <f>AND(#REF!,"AAAAAGf5/6w=")</f>
        <v>#REF!</v>
      </c>
      <c r="FR45" s="1" t="e">
        <f>AND(#REF!,"AAAAAGf5/60=")</f>
        <v>#REF!</v>
      </c>
      <c r="FS45" s="1" t="e">
        <f>AND(#REF!,"AAAAAGf5/64=")</f>
        <v>#REF!</v>
      </c>
      <c r="FT45" s="1" t="e">
        <f>AND(#REF!,"AAAAAGf5/68=")</f>
        <v>#REF!</v>
      </c>
      <c r="FU45" s="1" t="e">
        <f>AND(#REF!,"AAAAAGf5/7A=")</f>
        <v>#REF!</v>
      </c>
      <c r="FV45" s="1" t="e">
        <f>AND(#REF!,"AAAAAGf5/7E=")</f>
        <v>#REF!</v>
      </c>
      <c r="FW45" s="1" t="e">
        <f>AND(#REF!,"AAAAAGf5/7I=")</f>
        <v>#REF!</v>
      </c>
      <c r="FX45" s="1" t="e">
        <f>AND(#REF!,"AAAAAGf5/7M=")</f>
        <v>#REF!</v>
      </c>
      <c r="FY45" s="1" t="e">
        <f>AND(#REF!,"AAAAAGf5/7Q=")</f>
        <v>#REF!</v>
      </c>
      <c r="FZ45" s="1" t="e">
        <f>AND(#REF!,"AAAAAGf5/7U=")</f>
        <v>#REF!</v>
      </c>
      <c r="GA45" s="1" t="e">
        <f>AND(#REF!,"AAAAAGf5/7Y=")</f>
        <v>#REF!</v>
      </c>
      <c r="GB45" s="1" t="e">
        <f>AND(#REF!,"AAAAAGf5/7c=")</f>
        <v>#REF!</v>
      </c>
      <c r="GC45" s="1" t="e">
        <f>AND(#REF!,"AAAAAGf5/7g=")</f>
        <v>#REF!</v>
      </c>
      <c r="GD45" s="1" t="e">
        <f>AND(#REF!,"AAAAAGf5/7k=")</f>
        <v>#REF!</v>
      </c>
      <c r="GE45" s="1" t="e">
        <f>AND(#REF!,"AAAAAGf5/7o=")</f>
        <v>#REF!</v>
      </c>
      <c r="GF45" s="1" t="e">
        <f>AND(#REF!,"AAAAAGf5/7s=")</f>
        <v>#REF!</v>
      </c>
      <c r="GG45" s="1" t="e">
        <f>AND(#REF!,"AAAAAGf5/7w=")</f>
        <v>#REF!</v>
      </c>
      <c r="GH45" s="1" t="e">
        <f>AND(#REF!,"AAAAAGf5/70=")</f>
        <v>#REF!</v>
      </c>
      <c r="GI45" s="1" t="e">
        <f>AND(#REF!,"AAAAAGf5/74=")</f>
        <v>#REF!</v>
      </c>
      <c r="GJ45" s="1" t="e">
        <f>AND(#REF!,"AAAAAGf5/78=")</f>
        <v>#REF!</v>
      </c>
      <c r="GK45" s="1" t="e">
        <f>AND(#REF!,"AAAAAGf5/8A=")</f>
        <v>#REF!</v>
      </c>
      <c r="GL45" s="1" t="e">
        <f>AND(#REF!,"AAAAAGf5/8E=")</f>
        <v>#REF!</v>
      </c>
      <c r="GM45" s="1" t="e">
        <f>AND(#REF!,"AAAAAGf5/8I=")</f>
        <v>#REF!</v>
      </c>
      <c r="GN45" s="1" t="e">
        <f>AND(#REF!,"AAAAAGf5/8M=")</f>
        <v>#REF!</v>
      </c>
      <c r="GO45" s="1" t="e">
        <f>AND(#REF!,"AAAAAGf5/8Q=")</f>
        <v>#REF!</v>
      </c>
      <c r="GP45" s="1" t="e">
        <f>AND(#REF!,"AAAAAGf5/8U=")</f>
        <v>#REF!</v>
      </c>
      <c r="GQ45" s="1" t="e">
        <f>AND(#REF!,"AAAAAGf5/8Y=")</f>
        <v>#REF!</v>
      </c>
      <c r="GR45" s="1" t="e">
        <f>AND(#REF!,"AAAAAGf5/8c=")</f>
        <v>#REF!</v>
      </c>
      <c r="GS45" s="1" t="e">
        <f>AND(#REF!,"AAAAAGf5/8g=")</f>
        <v>#REF!</v>
      </c>
      <c r="GT45" s="1" t="e">
        <f>AND(#REF!,"AAAAAGf5/8k=")</f>
        <v>#REF!</v>
      </c>
      <c r="GU45" s="1" t="e">
        <f>AND(#REF!,"AAAAAGf5/8o=")</f>
        <v>#REF!</v>
      </c>
      <c r="GV45" s="1" t="e">
        <f>AND(#REF!,"AAAAAGf5/8s=")</f>
        <v>#REF!</v>
      </c>
      <c r="GW45" s="1" t="e">
        <f>AND(#REF!,"AAAAAGf5/8w=")</f>
        <v>#REF!</v>
      </c>
      <c r="GX45" s="1" t="e">
        <f>AND(#REF!,"AAAAAGf5/80=")</f>
        <v>#REF!</v>
      </c>
      <c r="GY45" s="1" t="e">
        <f>AND(#REF!,"AAAAAGf5/84=")</f>
        <v>#REF!</v>
      </c>
      <c r="GZ45" s="1" t="e">
        <f>AND(#REF!,"AAAAAGf5/88=")</f>
        <v>#REF!</v>
      </c>
      <c r="HA45" s="1" t="e">
        <f>AND(#REF!,"AAAAAGf5/9A=")</f>
        <v>#REF!</v>
      </c>
      <c r="HB45" s="1" t="e">
        <f>AND(#REF!,"AAAAAGf5/9E=")</f>
        <v>#REF!</v>
      </c>
      <c r="HC45" s="1" t="e">
        <f>AND(#REF!,"AAAAAGf5/9I=")</f>
        <v>#REF!</v>
      </c>
      <c r="HD45" s="1" t="e">
        <f>AND(#REF!,"AAAAAGf5/9M=")</f>
        <v>#REF!</v>
      </c>
      <c r="HE45" s="1" t="e">
        <f>AND(#REF!,"AAAAAGf5/9Q=")</f>
        <v>#REF!</v>
      </c>
      <c r="HF45" s="1" t="e">
        <f>AND(#REF!,"AAAAAGf5/9U=")</f>
        <v>#REF!</v>
      </c>
      <c r="HG45" s="1" t="e">
        <f>AND(#REF!,"AAAAAGf5/9Y=")</f>
        <v>#REF!</v>
      </c>
      <c r="HH45" s="1" t="e">
        <f>AND(#REF!,"AAAAAGf5/9c=")</f>
        <v>#REF!</v>
      </c>
      <c r="HI45" s="1" t="e">
        <f>AND(#REF!,"AAAAAGf5/9g=")</f>
        <v>#REF!</v>
      </c>
      <c r="HJ45" s="1" t="e">
        <f>AND(#REF!,"AAAAAGf5/9k=")</f>
        <v>#REF!</v>
      </c>
      <c r="HK45" s="1" t="e">
        <f>AND(#REF!,"AAAAAGf5/9o=")</f>
        <v>#REF!</v>
      </c>
      <c r="HL45" s="1" t="e">
        <f>AND(#REF!,"AAAAAGf5/9s=")</f>
        <v>#REF!</v>
      </c>
      <c r="HM45" s="1" t="e">
        <f>AND(#REF!,"AAAAAGf5/9w=")</f>
        <v>#REF!</v>
      </c>
      <c r="HN45" s="1" t="e">
        <f>AND(#REF!,"AAAAAGf5/90=")</f>
        <v>#REF!</v>
      </c>
      <c r="HO45" s="1" t="e">
        <f>AND(#REF!,"AAAAAGf5/94=")</f>
        <v>#REF!</v>
      </c>
      <c r="HP45" s="1" t="e">
        <f>IF(#REF!,"AAAAAGf5/98=",0)</f>
        <v>#REF!</v>
      </c>
      <c r="HQ45" s="1" t="e">
        <f>IF(#REF!,"AAAAAGf5/+A=",0)</f>
        <v>#REF!</v>
      </c>
      <c r="HR45" s="1" t="e">
        <f>IF(#REF!,"AAAAAGf5/+E=",0)</f>
        <v>#REF!</v>
      </c>
      <c r="HS45" s="1" t="e">
        <f>IF(#REF!,"AAAAAGf5/+I=",0)</f>
        <v>#REF!</v>
      </c>
      <c r="HT45" s="1" t="e">
        <f>IF(#REF!,"AAAAAGf5/+M=",0)</f>
        <v>#REF!</v>
      </c>
      <c r="HU45" s="1" t="e">
        <f>IF(#REF!,"AAAAAGf5/+Q=",0)</f>
        <v>#REF!</v>
      </c>
      <c r="HV45" s="1" t="e">
        <f>IF(#REF!,"AAAAAGf5/+U=",0)</f>
        <v>#REF!</v>
      </c>
      <c r="HW45" s="1" t="e">
        <f>IF(#REF!,"AAAAAGf5/+Y=",0)</f>
        <v>#REF!</v>
      </c>
      <c r="HX45" s="1" t="e">
        <f>IF(#REF!,"AAAAAGf5/+c=",0)</f>
        <v>#REF!</v>
      </c>
      <c r="HY45" s="1" t="e">
        <f>IF(#REF!,"AAAAAGf5/+g=",0)</f>
        <v>#REF!</v>
      </c>
      <c r="HZ45" s="1" t="e">
        <f>IF(#REF!,"AAAAAGf5/+k=",0)</f>
        <v>#REF!</v>
      </c>
      <c r="IA45" s="1" t="e">
        <f>IF(#REF!,"AAAAAGf5/+o=",0)</f>
        <v>#REF!</v>
      </c>
      <c r="IB45" s="1" t="e">
        <f>IF(#REF!,"AAAAAGf5/+s=",0)</f>
        <v>#REF!</v>
      </c>
      <c r="IC45" s="1" t="e">
        <f>IF(#REF!,"AAAAAGf5/+w=",0)</f>
        <v>#REF!</v>
      </c>
      <c r="ID45" s="1" t="e">
        <f>IF(#REF!,"AAAAAGf5/+0=",0)</f>
        <v>#REF!</v>
      </c>
      <c r="IE45" s="1" t="e">
        <f>IF(#REF!,"AAAAAGf5/+4=",0)</f>
        <v>#REF!</v>
      </c>
      <c r="IF45" s="1" t="e">
        <f>IF(#REF!,"AAAAAGf5/+8=",0)</f>
        <v>#REF!</v>
      </c>
      <c r="IG45" s="1" t="e">
        <f>IF(#REF!,"AAAAAGf5//A=",0)</f>
        <v>#REF!</v>
      </c>
      <c r="IH45" s="1" t="e">
        <f>IF(#REF!,"AAAAAGf5//E=",0)</f>
        <v>#REF!</v>
      </c>
      <c r="II45" s="1" t="e">
        <f>IF(#REF!,"AAAAAGf5//I=",0)</f>
        <v>#REF!</v>
      </c>
      <c r="IJ45" s="1" t="e">
        <f>IF(#REF!,"AAAAAGf5//M=",0)</f>
        <v>#REF!</v>
      </c>
      <c r="IK45" s="1" t="e">
        <f>IF(#REF!,"AAAAAGf5//Q=",0)</f>
        <v>#REF!</v>
      </c>
      <c r="IL45" s="1" t="e">
        <f>IF(#REF!,"AAAAAGf5//U=",0)</f>
        <v>#REF!</v>
      </c>
      <c r="IM45" s="1" t="e">
        <f>IF(#REF!,"AAAAAGf5//Y=",0)</f>
        <v>#REF!</v>
      </c>
      <c r="IN45" s="1" t="e">
        <f>IF(#REF!,"AAAAAGf5//c=",0)</f>
        <v>#REF!</v>
      </c>
      <c r="IO45" s="1" t="e">
        <f>IF(#REF!,"AAAAAGf5//g=",0)</f>
        <v>#REF!</v>
      </c>
      <c r="IP45" s="1" t="e">
        <f>IF(#REF!,"AAAAAGf5//k=",0)</f>
        <v>#REF!</v>
      </c>
      <c r="IQ45" s="1" t="e">
        <f>IF(#REF!,"AAAAAGf5//o=",0)</f>
        <v>#REF!</v>
      </c>
      <c r="IR45" s="1" t="e">
        <f>IF(#REF!,"AAAAAGf5//s=",0)</f>
        <v>#REF!</v>
      </c>
      <c r="IS45" s="1" t="e">
        <f>IF(#REF!,"AAAAAGf5//w=",0)</f>
        <v>#REF!</v>
      </c>
      <c r="IT45" s="1" t="e">
        <f>IF(#REF!,"AAAAAGf5//0=",0)</f>
        <v>#REF!</v>
      </c>
      <c r="IU45" s="1" t="e">
        <f>IF(#REF!,"AAAAAGf5//4=",0)</f>
        <v>#REF!</v>
      </c>
      <c r="IV45" s="1" t="e">
        <f>IF(#REF!,"AAAAAGf5//8=",0)</f>
        <v>#REF!</v>
      </c>
    </row>
    <row r="46" spans="1:256" ht="15" customHeight="1" x14ac:dyDescent="0.2">
      <c r="A46" s="1" t="e">
        <f>IF(#REF!,"AAAAAD6//wA=",0)</f>
        <v>#REF!</v>
      </c>
      <c r="B46" s="1" t="e">
        <f>IF(#REF!,"AAAAAD6//wE=",0)</f>
        <v>#REF!</v>
      </c>
      <c r="C46" s="1" t="e">
        <f>IF(#REF!,"AAAAAD6//wI=",0)</f>
        <v>#REF!</v>
      </c>
      <c r="D46" s="1" t="e">
        <f>IF(#REF!,"AAAAAD6//wM=",0)</f>
        <v>#REF!</v>
      </c>
      <c r="E46" s="1" t="e">
        <f>IF(#REF!,"AAAAAD6//wQ=",0)</f>
        <v>#REF!</v>
      </c>
      <c r="F46" s="1" t="e">
        <f>IF(#REF!,"AAAAAD6//wU=",0)</f>
        <v>#REF!</v>
      </c>
      <c r="G46" s="1" t="e">
        <f>IF(#REF!,"AAAAAD6//wY=",0)</f>
        <v>#REF!</v>
      </c>
      <c r="H46" s="1" t="e">
        <f>IF(#REF!,"AAAAAD6//wc=",0)</f>
        <v>#REF!</v>
      </c>
      <c r="I46" s="1" t="e">
        <f>IF(#REF!,"AAAAAD6//wg=",0)</f>
        <v>#REF!</v>
      </c>
      <c r="J46" s="1" t="e">
        <f>IF(#REF!,"AAAAAD6//wk=",0)</f>
        <v>#REF!</v>
      </c>
      <c r="K46" s="1" t="e">
        <f>IF(#REF!,"AAAAAD6//wo=",0)</f>
        <v>#REF!</v>
      </c>
      <c r="L46" s="1" t="e">
        <f>IF(#REF!,"AAAAAD6//ws=",0)</f>
        <v>#REF!</v>
      </c>
      <c r="M46" s="1" t="e">
        <f>IF(#REF!,"AAAAAD6//ww=",0)</f>
        <v>#REF!</v>
      </c>
      <c r="N46" s="1" t="e">
        <f>IF(#REF!,"AAAAAD6//w0=",0)</f>
        <v>#REF!</v>
      </c>
      <c r="O46" s="1" t="e">
        <f>IF(#REF!,"AAAAAD6//w4=",0)</f>
        <v>#REF!</v>
      </c>
      <c r="P46" s="1" t="e">
        <f>IF(#REF!,"AAAAAD6//w8=",0)</f>
        <v>#REF!</v>
      </c>
      <c r="Q46" s="1" t="e">
        <f>IF(#REF!,"AAAAAD6//xA=",0)</f>
        <v>#REF!</v>
      </c>
      <c r="R46" s="1" t="e">
        <f>IF(#REF!,"AAAAAD6//xE=",0)</f>
        <v>#REF!</v>
      </c>
      <c r="S46" s="1" t="e">
        <f>IF(#REF!,"AAAAAD6//xI=",0)</f>
        <v>#REF!</v>
      </c>
      <c r="T46" s="1" t="e">
        <f>IF(#REF!,"AAAAAD6//xM=",0)</f>
        <v>#REF!</v>
      </c>
      <c r="U46" s="1" t="e">
        <f>IF(#REF!,"AAAAAD6//xQ=",0)</f>
        <v>#REF!</v>
      </c>
      <c r="V46" s="1" t="e">
        <f>IF(#REF!,"AAAAAD6//xU=",0)</f>
        <v>#REF!</v>
      </c>
      <c r="W46" s="1" t="e">
        <f>IF(#REF!,"AAAAAD6//xY=",0)</f>
        <v>#REF!</v>
      </c>
      <c r="X46" s="1" t="e">
        <f>IF(#REF!,"AAAAAD6//xc=",0)</f>
        <v>#REF!</v>
      </c>
      <c r="Y46" s="1" t="e">
        <f>IF(#REF!,"AAAAAD6//xg=",0)</f>
        <v>#REF!</v>
      </c>
      <c r="Z46" s="1" t="e">
        <f>IF(#REF!,"AAAAAD6//xk=",0)</f>
        <v>#REF!</v>
      </c>
      <c r="AA46" s="1" t="e">
        <f>IF(#REF!,"AAAAAD6//xo=",0)</f>
        <v>#REF!</v>
      </c>
      <c r="AB46" s="1" t="e">
        <f>IF(#REF!,"AAAAAD6//xs=",0)</f>
        <v>#REF!</v>
      </c>
      <c r="AC46" s="1" t="e">
        <f>IF(#REF!,"AAAAAD6//xw=",0)</f>
        <v>#REF!</v>
      </c>
      <c r="AD46" s="1" t="e">
        <f>IF(#REF!,"AAAAAD6//x0=",0)</f>
        <v>#REF!</v>
      </c>
      <c r="AE46" s="1" t="e">
        <f>IF(#REF!,"AAAAAD6//x4=",0)</f>
        <v>#REF!</v>
      </c>
      <c r="AF46" s="1" t="e">
        <f>IF(#REF!,"AAAAAD6//x8=",0)</f>
        <v>#REF!</v>
      </c>
      <c r="AG46" s="1" t="e">
        <f>IF(#REF!,"AAAAAD6//yA=",0)</f>
        <v>#REF!</v>
      </c>
      <c r="AH46" s="1" t="e">
        <f>IF(#REF!,"AAAAAD6//yE=",0)</f>
        <v>#REF!</v>
      </c>
      <c r="AI46" s="1" t="e">
        <f>IF(#REF!,"AAAAAD6//yI=",0)</f>
        <v>#REF!</v>
      </c>
      <c r="AJ46" s="1" t="e">
        <f>IF(#REF!,"AAAAAD6//yM=",0)</f>
        <v>#REF!</v>
      </c>
      <c r="AK46" s="1" t="e">
        <f>IF(#REF!,"AAAAAD6//yQ=",0)</f>
        <v>#REF!</v>
      </c>
      <c r="AL46" s="1" t="e">
        <f>IF(#REF!,"AAAAAD6//yU=",0)</f>
        <v>#REF!</v>
      </c>
      <c r="AM46" s="1" t="e">
        <f>IF(#REF!,"AAAAAD6//yY=",0)</f>
        <v>#REF!</v>
      </c>
      <c r="AN46" s="1" t="e">
        <f>IF(#REF!,"AAAAAD6//yc=",0)</f>
        <v>#REF!</v>
      </c>
      <c r="AO46" s="1" t="e">
        <f>IF(#REF!,"AAAAAD6//yg=",0)</f>
        <v>#REF!</v>
      </c>
      <c r="AP46" s="1" t="e">
        <f>IF(#REF!,"AAAAAD6//yk=",0)</f>
        <v>#REF!</v>
      </c>
      <c r="AQ46" s="1" t="e">
        <f>IF(#REF!,"AAAAAD6//yo=",0)</f>
        <v>#REF!</v>
      </c>
      <c r="AR46" s="1" t="e">
        <f>IF(#REF!,"AAAAAD6//ys=",0)</f>
        <v>#REF!</v>
      </c>
      <c r="AS46" s="1" t="e">
        <f>IF(#REF!,"AAAAAD6//yw=",0)</f>
        <v>#REF!</v>
      </c>
      <c r="AT46" s="1" t="e">
        <f>IF(#REF!,"AAAAAD6//y0=",0)</f>
        <v>#REF!</v>
      </c>
      <c r="AU46" s="1" t="e">
        <f>IF(#REF!,"AAAAAD6//y4=",0)</f>
        <v>#REF!</v>
      </c>
      <c r="AV46" s="1" t="e">
        <f>IF(#REF!,"AAAAAD6//y8=",0)</f>
        <v>#REF!</v>
      </c>
      <c r="AW46" s="1" t="e">
        <f>IF(#REF!,"AAAAAD6//zA=",0)</f>
        <v>#REF!</v>
      </c>
      <c r="AX46" s="1" t="e">
        <f>IF(#REF!,"AAAAAD6//zE=",0)</f>
        <v>#REF!</v>
      </c>
      <c r="AY46" s="1" t="e">
        <f>IF(#REF!,"AAAAAD6//zI=",0)</f>
        <v>#REF!</v>
      </c>
      <c r="AZ46" s="1" t="e">
        <f>IF(#REF!,"AAAAAD6//zM=",0)</f>
        <v>#REF!</v>
      </c>
      <c r="BA46" s="1" t="e">
        <f>IF(#REF!,"AAAAAD6//zQ=",0)</f>
        <v>#REF!</v>
      </c>
      <c r="BB46" s="1" t="e">
        <f>IF(#REF!,"AAAAAD6//zU=",0)</f>
        <v>#REF!</v>
      </c>
      <c r="BC46" s="1" t="e">
        <f>IF(#REF!,"AAAAAD6//zY=",0)</f>
        <v>#REF!</v>
      </c>
      <c r="BD46" s="1" t="e">
        <f>IF(#REF!,"AAAAAD6//zc=",0)</f>
        <v>#REF!</v>
      </c>
      <c r="BE46" s="1" t="e">
        <f>IF(#REF!,"AAAAAD6//zg=",0)</f>
        <v>#REF!</v>
      </c>
      <c r="BF46" s="1" t="e">
        <f>IF(#REF!,"AAAAAD6//zk=",0)</f>
        <v>#REF!</v>
      </c>
      <c r="BG46" s="1" t="e">
        <f>IF(#REF!,"AAAAAD6//zo=",0)</f>
        <v>#REF!</v>
      </c>
      <c r="BH46" s="1" t="e">
        <f>IF(#REF!,"AAAAAD6//zs=",0)</f>
        <v>#REF!</v>
      </c>
      <c r="BI46" s="1" t="e">
        <f>IF(#REF!,"AAAAAD6//zw=",0)</f>
        <v>#REF!</v>
      </c>
      <c r="BJ46" s="1" t="e">
        <f>IF(#REF!,"AAAAAD6//z0=",0)</f>
        <v>#REF!</v>
      </c>
      <c r="BK46" s="1" t="e">
        <f>IF(#REF!,"AAAAAD6//z4=",0)</f>
        <v>#REF!</v>
      </c>
      <c r="BL46" s="1" t="e">
        <f>IF(#REF!,"AAAAAD6//z8=",0)</f>
        <v>#REF!</v>
      </c>
      <c r="BM46" s="1" t="e">
        <f>IF(#REF!,"AAAAAD6//0A=",0)</f>
        <v>#REF!</v>
      </c>
      <c r="BN46" s="1" t="e">
        <f>IF(#REF!,"AAAAAD6//0E=",0)</f>
        <v>#REF!</v>
      </c>
      <c r="BO46" s="1" t="e">
        <f>IF(#REF!,"AAAAAD6//0I=",0)</f>
        <v>#REF!</v>
      </c>
      <c r="BP46" s="1" t="e">
        <f>IF(#REF!,"AAAAAD6//0M=",0)</f>
        <v>#REF!</v>
      </c>
      <c r="BQ46" s="1" t="e">
        <f>IF(#REF!,"AAAAAD6//0Q=",0)</f>
        <v>#REF!</v>
      </c>
      <c r="BR46" s="1" t="e">
        <f>IF(#REF!,"AAAAAD6//0U=",0)</f>
        <v>#REF!</v>
      </c>
      <c r="BS46" s="1" t="e">
        <f>IF(#REF!,"AAAAAD6//0Y=",0)</f>
        <v>#REF!</v>
      </c>
      <c r="BT46" s="1" t="e">
        <f>IF(#REF!,"AAAAAD6//0c=",0)</f>
        <v>#REF!</v>
      </c>
      <c r="BU46" s="1" t="e">
        <f>IF(#REF!,"AAAAAD6//0g=",0)</f>
        <v>#REF!</v>
      </c>
      <c r="BV46" s="1" t="e">
        <f>IF(#REF!,"AAAAAD6//0k=",0)</f>
        <v>#REF!</v>
      </c>
      <c r="BW46" s="1" t="e">
        <f>IF(#REF!,"AAAAAD6//0o=",0)</f>
        <v>#REF!</v>
      </c>
      <c r="BX46" s="1" t="e">
        <f>IF(#REF!,"AAAAAD6//0s=",0)</f>
        <v>#REF!</v>
      </c>
      <c r="BY46" s="1" t="e">
        <f>IF(#REF!,"AAAAAD6//0w=",0)</f>
        <v>#REF!</v>
      </c>
      <c r="BZ46" s="1" t="e">
        <f>IF(#REF!,"AAAAAD6//00=",0)</f>
        <v>#REF!</v>
      </c>
      <c r="CA46" s="1" t="e">
        <f>IF(#REF!,"AAAAAD6//04=",0)</f>
        <v>#REF!</v>
      </c>
      <c r="CB46" s="1" t="e">
        <f>IF(#REF!,"AAAAAD6//08=",0)</f>
        <v>#REF!</v>
      </c>
      <c r="CC46" s="1" t="e">
        <f>IF(#REF!,"AAAAAD6//1A=",0)</f>
        <v>#REF!</v>
      </c>
      <c r="CD46" s="1" t="e">
        <f>IF(#REF!,"AAAAAD6//1E=",0)</f>
        <v>#REF!</v>
      </c>
      <c r="CE46" s="1" t="e">
        <f>IF(#REF!,"AAAAAD6//1I=",0)</f>
        <v>#REF!</v>
      </c>
      <c r="CF46" s="1" t="e">
        <f>IF(#REF!,"AAAAAD6//1M=",0)</f>
        <v>#REF!</v>
      </c>
      <c r="CG46" s="1" t="e">
        <f>IF(#REF!,"AAAAAD6//1Q=",0)</f>
        <v>#REF!</v>
      </c>
      <c r="CH46" s="1" t="e">
        <f>IF(#REF!,"AAAAAD6//1U=",0)</f>
        <v>#REF!</v>
      </c>
      <c r="CI46" s="1" t="e">
        <f>IF(#REF!,"AAAAAD6//1Y=",0)</f>
        <v>#REF!</v>
      </c>
      <c r="CJ46" s="1" t="e">
        <f>IF(#REF!,"AAAAAD6//1c=",0)</f>
        <v>#REF!</v>
      </c>
      <c r="CK46" s="1" t="e">
        <f>IF(#REF!,"AAAAAD6//1g=",0)</f>
        <v>#REF!</v>
      </c>
      <c r="CL46" s="1" t="e">
        <f>IF(#REF!,"AAAAAD6//1k=",0)</f>
        <v>#REF!</v>
      </c>
      <c r="CM46" s="1" t="e">
        <f>IF(#REF!,"AAAAAD6//1o=",0)</f>
        <v>#REF!</v>
      </c>
      <c r="CN46" s="1" t="e">
        <f>IF(#REF!,"AAAAAD6//1s=",0)</f>
        <v>#REF!</v>
      </c>
      <c r="CO46" s="1" t="e">
        <f>IF(#REF!,"AAAAAD6//1w=",0)</f>
        <v>#REF!</v>
      </c>
      <c r="CP46" s="1" t="e">
        <f>IF(#REF!,"AAAAAD6//10=",0)</f>
        <v>#REF!</v>
      </c>
      <c r="CQ46" s="1" t="e">
        <f>IF(#REF!,"AAAAAD6//14=",0)</f>
        <v>#REF!</v>
      </c>
      <c r="CR46" s="1" t="e">
        <f>IF(#REF!,"AAAAAD6//18=",0)</f>
        <v>#REF!</v>
      </c>
      <c r="CS46" s="1" t="e">
        <f>IF(#REF!,"AAAAAD6//2A=",0)</f>
        <v>#REF!</v>
      </c>
      <c r="CT46" s="1" t="e">
        <f>IF(#REF!,"AAAAAD6//2E=",0)</f>
        <v>#REF!</v>
      </c>
      <c r="CU46" s="1" t="e">
        <f>IF(#REF!,"AAAAAD6//2I=",0)</f>
        <v>#REF!</v>
      </c>
      <c r="CV46" s="1" t="e">
        <f>IF(#REF!,"AAAAAD6//2M=",0)</f>
        <v>#REF!</v>
      </c>
      <c r="CW46" s="1" t="e">
        <f>IF(#REF!,"AAAAAD6//2Q=",0)</f>
        <v>#REF!</v>
      </c>
      <c r="CX46" s="1" t="e">
        <f>IF(#REF!,"AAAAAD6//2U=",0)</f>
        <v>#REF!</v>
      </c>
      <c r="CY46" s="1" t="e">
        <f>IF(#REF!,"AAAAAD6//2Y=",0)</f>
        <v>#REF!</v>
      </c>
      <c r="CZ46" s="1" t="e">
        <f>IF(#REF!,"AAAAAD6//2c=",0)</f>
        <v>#REF!</v>
      </c>
      <c r="DA46" s="1" t="e">
        <f>IF(#REF!,"AAAAAD6//2g=",0)</f>
        <v>#REF!</v>
      </c>
      <c r="DB46" s="1" t="e">
        <f>IF(#REF!,"AAAAAD6//2k=",0)</f>
        <v>#REF!</v>
      </c>
      <c r="DC46" s="1" t="e">
        <f>IF(#REF!,"AAAAAD6//2o=",0)</f>
        <v>#REF!</v>
      </c>
      <c r="DD46" s="1" t="e">
        <f>IF(#REF!,"AAAAAD6//2s=",0)</f>
        <v>#REF!</v>
      </c>
      <c r="DE46" s="1" t="e">
        <f>AND(#REF!,"AAAAAD6//2w=")</f>
        <v>#REF!</v>
      </c>
      <c r="DF46" s="1" t="e">
        <f>AND(#REF!,"AAAAAD6//20=")</f>
        <v>#REF!</v>
      </c>
      <c r="DG46" s="1" t="e">
        <f>AND(#REF!,"AAAAAD6//24=")</f>
        <v>#REF!</v>
      </c>
      <c r="DH46" s="1" t="e">
        <f>AND(#REF!,"AAAAAD6//28=")</f>
        <v>#REF!</v>
      </c>
      <c r="DI46" s="1" t="e">
        <f>AND(#REF!,"AAAAAD6//3A=")</f>
        <v>#REF!</v>
      </c>
      <c r="DJ46" s="1" t="e">
        <f>AND(#REF!,"AAAAAD6//3E=")</f>
        <v>#REF!</v>
      </c>
      <c r="DK46" s="1" t="e">
        <f>AND(#REF!,"AAAAAD6//3I=")</f>
        <v>#REF!</v>
      </c>
      <c r="DL46" s="1" t="e">
        <f>AND(#REF!,"AAAAAD6//3M=")</f>
        <v>#REF!</v>
      </c>
      <c r="DM46" s="1" t="e">
        <f>AND(#REF!,"AAAAAD6//3Q=")</f>
        <v>#REF!</v>
      </c>
      <c r="DN46" s="1" t="e">
        <f>AND(#REF!,"AAAAAD6//3U=")</f>
        <v>#REF!</v>
      </c>
      <c r="DO46" s="1" t="e">
        <f>AND(#REF!,"AAAAAD6//3Y=")</f>
        <v>#REF!</v>
      </c>
      <c r="DP46" s="1" t="e">
        <f>AND(#REF!,"AAAAAD6//3c=")</f>
        <v>#REF!</v>
      </c>
      <c r="DQ46" s="1" t="e">
        <f>AND(#REF!,"AAAAAD6//3g=")</f>
        <v>#REF!</v>
      </c>
      <c r="DR46" s="1" t="e">
        <f>AND(#REF!,"AAAAAD6//3k=")</f>
        <v>#REF!</v>
      </c>
      <c r="DS46" s="1" t="e">
        <f>AND(#REF!,"AAAAAD6//3o=")</f>
        <v>#REF!</v>
      </c>
      <c r="DT46" s="1" t="e">
        <f>AND(#REF!,"AAAAAD6//3s=")</f>
        <v>#REF!</v>
      </c>
      <c r="DU46" s="1" t="e">
        <f>AND(#REF!,"AAAAAD6//3w=")</f>
        <v>#REF!</v>
      </c>
      <c r="DV46" s="1" t="e">
        <f>AND(#REF!,"AAAAAD6//30=")</f>
        <v>#REF!</v>
      </c>
      <c r="DW46" s="1" t="e">
        <f>AND(#REF!,"AAAAAD6//34=")</f>
        <v>#REF!</v>
      </c>
      <c r="DX46" s="1" t="e">
        <f>AND(#REF!,"AAAAAD6//38=")</f>
        <v>#REF!</v>
      </c>
      <c r="DY46" s="1" t="e">
        <f>AND(#REF!,"AAAAAD6//4A=")</f>
        <v>#REF!</v>
      </c>
      <c r="DZ46" s="1" t="e">
        <f>AND(#REF!,"AAAAAD6//4E=")</f>
        <v>#REF!</v>
      </c>
      <c r="EA46" s="1" t="e">
        <f>AND(#REF!,"AAAAAD6//4I=")</f>
        <v>#REF!</v>
      </c>
      <c r="EB46" s="1" t="e">
        <f>AND(#REF!,"AAAAAD6//4M=")</f>
        <v>#REF!</v>
      </c>
      <c r="EC46" s="1" t="e">
        <f>AND(#REF!,"AAAAAD6//4Q=")</f>
        <v>#REF!</v>
      </c>
      <c r="ED46" s="1" t="e">
        <f>AND(#REF!,"AAAAAD6//4U=")</f>
        <v>#REF!</v>
      </c>
      <c r="EE46" s="1" t="e">
        <f>IF(#REF!,"AAAAAD6//4Y=",0)</f>
        <v>#REF!</v>
      </c>
      <c r="EF46" s="1" t="e">
        <f>AND(#REF!,"AAAAAD6//4c=")</f>
        <v>#REF!</v>
      </c>
      <c r="EG46" s="1" t="e">
        <f>AND(#REF!,"AAAAAD6//4g=")</f>
        <v>#REF!</v>
      </c>
      <c r="EH46" s="1" t="e">
        <f>AND(#REF!,"AAAAAD6//4k=")</f>
        <v>#REF!</v>
      </c>
      <c r="EI46" s="1" t="e">
        <f>AND(#REF!,"AAAAAD6//4o=")</f>
        <v>#REF!</v>
      </c>
      <c r="EJ46" s="1" t="e">
        <f>AND(#REF!,"AAAAAD6//4s=")</f>
        <v>#REF!</v>
      </c>
      <c r="EK46" s="1" t="e">
        <f>AND(#REF!,"AAAAAD6//4w=")</f>
        <v>#REF!</v>
      </c>
      <c r="EL46" s="1" t="e">
        <f>AND(#REF!,"AAAAAD6//40=")</f>
        <v>#REF!</v>
      </c>
      <c r="EM46" s="1" t="e">
        <f>AND(#REF!,"AAAAAD6//44=")</f>
        <v>#REF!</v>
      </c>
      <c r="EN46" s="1" t="e">
        <f>AND(#REF!,"AAAAAD6//48=")</f>
        <v>#REF!</v>
      </c>
      <c r="EO46" s="1" t="e">
        <f>AND(#REF!,"AAAAAD6//5A=")</f>
        <v>#REF!</v>
      </c>
      <c r="EP46" s="1" t="e">
        <f>AND(#REF!,"AAAAAD6//5E=")</f>
        <v>#REF!</v>
      </c>
      <c r="EQ46" s="1" t="e">
        <f>AND(#REF!,"AAAAAD6//5I=")</f>
        <v>#REF!</v>
      </c>
      <c r="ER46" s="1" t="e">
        <f>AND(#REF!,"AAAAAD6//5M=")</f>
        <v>#REF!</v>
      </c>
      <c r="ES46" s="1" t="e">
        <f>AND(#REF!,"AAAAAD6//5Q=")</f>
        <v>#REF!</v>
      </c>
      <c r="ET46" s="1" t="e">
        <f>AND(#REF!,"AAAAAD6//5U=")</f>
        <v>#REF!</v>
      </c>
      <c r="EU46" s="1" t="e">
        <f>AND(#REF!,"AAAAAD6//5Y=")</f>
        <v>#REF!</v>
      </c>
      <c r="EV46" s="1" t="e">
        <f>AND(#REF!,"AAAAAD6//5c=")</f>
        <v>#REF!</v>
      </c>
      <c r="EW46" s="1" t="e">
        <f>AND(#REF!,"AAAAAD6//5g=")</f>
        <v>#REF!</v>
      </c>
      <c r="EX46" s="1" t="e">
        <f>AND(#REF!,"AAAAAD6//5k=")</f>
        <v>#REF!</v>
      </c>
      <c r="EY46" s="1" t="e">
        <f>AND(#REF!,"AAAAAD6//5o=")</f>
        <v>#REF!</v>
      </c>
      <c r="EZ46" s="1" t="e">
        <f>AND(#REF!,"AAAAAD6//5s=")</f>
        <v>#REF!</v>
      </c>
      <c r="FA46" s="1" t="e">
        <f>AND(#REF!,"AAAAAD6//5w=")</f>
        <v>#REF!</v>
      </c>
      <c r="FB46" s="1" t="e">
        <f>AND(#REF!,"AAAAAD6//50=")</f>
        <v>#REF!</v>
      </c>
      <c r="FC46" s="1" t="e">
        <f>AND(#REF!,"AAAAAD6//54=")</f>
        <v>#REF!</v>
      </c>
      <c r="FD46" s="1" t="e">
        <f>AND(#REF!,"AAAAAD6//58=")</f>
        <v>#REF!</v>
      </c>
      <c r="FE46" s="1" t="e">
        <f>AND(#REF!,"AAAAAD6//6A=")</f>
        <v>#REF!</v>
      </c>
      <c r="FF46" s="1" t="e">
        <f>IF(#REF!,"AAAAAD6//6E=",0)</f>
        <v>#REF!</v>
      </c>
      <c r="FG46" s="1" t="e">
        <f>AND(#REF!,"AAAAAD6//6I=")</f>
        <v>#REF!</v>
      </c>
      <c r="FH46" s="1" t="e">
        <f>AND(#REF!,"AAAAAD6//6M=")</f>
        <v>#REF!</v>
      </c>
      <c r="FI46" s="1" t="e">
        <f>AND(#REF!,"AAAAAD6//6Q=")</f>
        <v>#REF!</v>
      </c>
      <c r="FJ46" s="1" t="e">
        <f>AND(#REF!,"AAAAAD6//6U=")</f>
        <v>#REF!</v>
      </c>
      <c r="FK46" s="1" t="e">
        <f>AND(#REF!,"AAAAAD6//6Y=")</f>
        <v>#REF!</v>
      </c>
      <c r="FL46" s="1" t="e">
        <f>AND(#REF!,"AAAAAD6//6c=")</f>
        <v>#REF!</v>
      </c>
      <c r="FM46" s="1" t="e">
        <f>AND(#REF!,"AAAAAD6//6g=")</f>
        <v>#REF!</v>
      </c>
      <c r="FN46" s="1" t="e">
        <f>AND(#REF!,"AAAAAD6//6k=")</f>
        <v>#REF!</v>
      </c>
      <c r="FO46" s="1" t="e">
        <f>AND(#REF!,"AAAAAD6//6o=")</f>
        <v>#REF!</v>
      </c>
      <c r="FP46" s="1" t="e">
        <f>AND(#REF!,"AAAAAD6//6s=")</f>
        <v>#REF!</v>
      </c>
      <c r="FQ46" s="1" t="e">
        <f>AND(#REF!,"AAAAAD6//6w=")</f>
        <v>#REF!</v>
      </c>
      <c r="FR46" s="1" t="e">
        <f>AND(#REF!,"AAAAAD6//60=")</f>
        <v>#REF!</v>
      </c>
      <c r="FS46" s="1" t="e">
        <f>AND(#REF!,"AAAAAD6//64=")</f>
        <v>#REF!</v>
      </c>
      <c r="FT46" s="1" t="e">
        <f>AND(#REF!,"AAAAAD6//68=")</f>
        <v>#REF!</v>
      </c>
      <c r="FU46" s="1" t="e">
        <f>AND(#REF!,"AAAAAD6//7A=")</f>
        <v>#REF!</v>
      </c>
      <c r="FV46" s="1" t="e">
        <f>AND(#REF!,"AAAAAD6//7E=")</f>
        <v>#REF!</v>
      </c>
      <c r="FW46" s="1" t="e">
        <f>AND(#REF!,"AAAAAD6//7I=")</f>
        <v>#REF!</v>
      </c>
      <c r="FX46" s="1" t="e">
        <f>AND(#REF!,"AAAAAD6//7M=")</f>
        <v>#REF!</v>
      </c>
      <c r="FY46" s="1" t="e">
        <f>AND(#REF!,"AAAAAD6//7Q=")</f>
        <v>#REF!</v>
      </c>
      <c r="FZ46" s="1" t="e">
        <f>AND(#REF!,"AAAAAD6//7U=")</f>
        <v>#REF!</v>
      </c>
      <c r="GA46" s="1" t="e">
        <f>AND(#REF!,"AAAAAD6//7Y=")</f>
        <v>#REF!</v>
      </c>
      <c r="GB46" s="1" t="e">
        <f>AND(#REF!,"AAAAAD6//7c=")</f>
        <v>#REF!</v>
      </c>
      <c r="GC46" s="1" t="e">
        <f>AND(#REF!,"AAAAAD6//7g=")</f>
        <v>#REF!</v>
      </c>
      <c r="GD46" s="1" t="e">
        <f>AND(#REF!,"AAAAAD6//7k=")</f>
        <v>#REF!</v>
      </c>
      <c r="GE46" s="1" t="e">
        <f>AND(#REF!,"AAAAAD6//7o=")</f>
        <v>#REF!</v>
      </c>
      <c r="GF46" s="1" t="e">
        <f>AND(#REF!,"AAAAAD6//7s=")</f>
        <v>#REF!</v>
      </c>
      <c r="GG46" s="1" t="e">
        <f>IF(#REF!,"AAAAAD6//7w=",0)</f>
        <v>#REF!</v>
      </c>
      <c r="GH46" s="1" t="e">
        <f>AND(#REF!,"AAAAAD6//70=")</f>
        <v>#REF!</v>
      </c>
      <c r="GI46" s="1" t="e">
        <f>AND(#REF!,"AAAAAD6//74=")</f>
        <v>#REF!</v>
      </c>
      <c r="GJ46" s="1" t="e">
        <f>AND(#REF!,"AAAAAD6//78=")</f>
        <v>#REF!</v>
      </c>
      <c r="GK46" s="1" t="e">
        <f>AND(#REF!,"AAAAAD6//8A=")</f>
        <v>#REF!</v>
      </c>
      <c r="GL46" s="1" t="e">
        <f>AND(#REF!,"AAAAAD6//8E=")</f>
        <v>#REF!</v>
      </c>
      <c r="GM46" s="1" t="e">
        <f>AND(#REF!,"AAAAAD6//8I=")</f>
        <v>#REF!</v>
      </c>
      <c r="GN46" s="1" t="e">
        <f>AND(#REF!,"AAAAAD6//8M=")</f>
        <v>#REF!</v>
      </c>
      <c r="GO46" s="1" t="e">
        <f>AND(#REF!,"AAAAAD6//8Q=")</f>
        <v>#REF!</v>
      </c>
      <c r="GP46" s="1" t="e">
        <f>AND(#REF!,"AAAAAD6//8U=")</f>
        <v>#REF!</v>
      </c>
      <c r="GQ46" s="1" t="e">
        <f>AND(#REF!,"AAAAAD6//8Y=")</f>
        <v>#REF!</v>
      </c>
      <c r="GR46" s="1" t="e">
        <f>AND(#REF!,"AAAAAD6//8c=")</f>
        <v>#REF!</v>
      </c>
      <c r="GS46" s="1" t="e">
        <f>AND(#REF!,"AAAAAD6//8g=")</f>
        <v>#REF!</v>
      </c>
      <c r="GT46" s="1" t="e">
        <f>AND(#REF!,"AAAAAD6//8k=")</f>
        <v>#REF!</v>
      </c>
      <c r="GU46" s="1" t="e">
        <f>AND(#REF!,"AAAAAD6//8o=")</f>
        <v>#REF!</v>
      </c>
      <c r="GV46" s="1" t="e">
        <f>AND(#REF!,"AAAAAD6//8s=")</f>
        <v>#REF!</v>
      </c>
      <c r="GW46" s="1" t="e">
        <f>AND(#REF!,"AAAAAD6//8w=")</f>
        <v>#REF!</v>
      </c>
      <c r="GX46" s="1" t="e">
        <f>AND(#REF!,"AAAAAD6//80=")</f>
        <v>#REF!</v>
      </c>
      <c r="GY46" s="1" t="e">
        <f>AND(#REF!,"AAAAAD6//84=")</f>
        <v>#REF!</v>
      </c>
      <c r="GZ46" s="1" t="e">
        <f>AND(#REF!,"AAAAAD6//88=")</f>
        <v>#REF!</v>
      </c>
      <c r="HA46" s="1" t="e">
        <f>AND(#REF!,"AAAAAD6//9A=")</f>
        <v>#REF!</v>
      </c>
      <c r="HB46" s="1" t="e">
        <f>AND(#REF!,"AAAAAD6//9E=")</f>
        <v>#REF!</v>
      </c>
      <c r="HC46" s="1" t="e">
        <f>AND(#REF!,"AAAAAD6//9I=")</f>
        <v>#REF!</v>
      </c>
      <c r="HD46" s="1" t="e">
        <f>AND(#REF!,"AAAAAD6//9M=")</f>
        <v>#REF!</v>
      </c>
      <c r="HE46" s="1" t="e">
        <f>AND(#REF!,"AAAAAD6//9Q=")</f>
        <v>#REF!</v>
      </c>
      <c r="HF46" s="1" t="e">
        <f>AND(#REF!,"AAAAAD6//9U=")</f>
        <v>#REF!</v>
      </c>
      <c r="HG46" s="1" t="e">
        <f>AND(#REF!,"AAAAAD6//9Y=")</f>
        <v>#REF!</v>
      </c>
      <c r="HH46" s="1" t="e">
        <f>IF(#REF!,"AAAAAD6//9c=",0)</f>
        <v>#REF!</v>
      </c>
      <c r="HI46" s="1" t="e">
        <f>AND(#REF!,"AAAAAD6//9g=")</f>
        <v>#REF!</v>
      </c>
      <c r="HJ46" s="1" t="e">
        <f>AND(#REF!,"AAAAAD6//9k=")</f>
        <v>#REF!</v>
      </c>
      <c r="HK46" s="1" t="e">
        <f>AND(#REF!,"AAAAAD6//9o=")</f>
        <v>#REF!</v>
      </c>
      <c r="HL46" s="1" t="e">
        <f>AND(#REF!,"AAAAAD6//9s=")</f>
        <v>#REF!</v>
      </c>
      <c r="HM46" s="1" t="e">
        <f>AND(#REF!,"AAAAAD6//9w=")</f>
        <v>#REF!</v>
      </c>
      <c r="HN46" s="1" t="e">
        <f>AND(#REF!,"AAAAAD6//90=")</f>
        <v>#REF!</v>
      </c>
      <c r="HO46" s="1" t="e">
        <f>AND(#REF!,"AAAAAD6//94=")</f>
        <v>#REF!</v>
      </c>
      <c r="HP46" s="1" t="e">
        <f>AND(#REF!,"AAAAAD6//98=")</f>
        <v>#REF!</v>
      </c>
      <c r="HQ46" s="1" t="e">
        <f>AND(#REF!,"AAAAAD6//+A=")</f>
        <v>#REF!</v>
      </c>
      <c r="HR46" s="1" t="e">
        <f>AND(#REF!,"AAAAAD6//+E=")</f>
        <v>#REF!</v>
      </c>
      <c r="HS46" s="1" t="e">
        <f>AND(#REF!,"AAAAAD6//+I=")</f>
        <v>#REF!</v>
      </c>
      <c r="HT46" s="1" t="e">
        <f>AND(#REF!,"AAAAAD6//+M=")</f>
        <v>#REF!</v>
      </c>
      <c r="HU46" s="1" t="e">
        <f>AND(#REF!,"AAAAAD6//+Q=")</f>
        <v>#REF!</v>
      </c>
      <c r="HV46" s="1" t="e">
        <f>AND(#REF!,"AAAAAD6//+U=")</f>
        <v>#REF!</v>
      </c>
      <c r="HW46" s="1" t="e">
        <f>AND(#REF!,"AAAAAD6//+Y=")</f>
        <v>#REF!</v>
      </c>
      <c r="HX46" s="1" t="e">
        <f>AND(#REF!,"AAAAAD6//+c=")</f>
        <v>#REF!</v>
      </c>
      <c r="HY46" s="1" t="e">
        <f>AND(#REF!,"AAAAAD6//+g=")</f>
        <v>#REF!</v>
      </c>
      <c r="HZ46" s="1" t="e">
        <f>AND(#REF!,"AAAAAD6//+k=")</f>
        <v>#REF!</v>
      </c>
      <c r="IA46" s="1" t="e">
        <f>AND(#REF!,"AAAAAD6//+o=")</f>
        <v>#REF!</v>
      </c>
      <c r="IB46" s="1" t="e">
        <f>AND(#REF!,"AAAAAD6//+s=")</f>
        <v>#REF!</v>
      </c>
      <c r="IC46" s="1" t="e">
        <f>AND(#REF!,"AAAAAD6//+w=")</f>
        <v>#REF!</v>
      </c>
      <c r="ID46" s="1" t="e">
        <f>AND(#REF!,"AAAAAD6//+0=")</f>
        <v>#REF!</v>
      </c>
      <c r="IE46" s="1" t="e">
        <f>AND(#REF!,"AAAAAD6//+4=")</f>
        <v>#REF!</v>
      </c>
      <c r="IF46" s="1" t="e">
        <f>AND(#REF!,"AAAAAD6//+8=")</f>
        <v>#REF!</v>
      </c>
      <c r="IG46" s="1" t="e">
        <f>AND(#REF!,"AAAAAD6///A=")</f>
        <v>#REF!</v>
      </c>
      <c r="IH46" s="1" t="e">
        <f>AND(#REF!,"AAAAAD6///E=")</f>
        <v>#REF!</v>
      </c>
      <c r="II46" s="1" t="e">
        <f>IF(#REF!,"AAAAAD6///I=",0)</f>
        <v>#REF!</v>
      </c>
      <c r="IJ46" s="1" t="e">
        <f>AND(#REF!,"AAAAAD6///M=")</f>
        <v>#REF!</v>
      </c>
      <c r="IK46" s="1" t="e">
        <f>AND(#REF!,"AAAAAD6///Q=")</f>
        <v>#REF!</v>
      </c>
      <c r="IL46" s="1" t="e">
        <f>AND(#REF!,"AAAAAD6///U=")</f>
        <v>#REF!</v>
      </c>
      <c r="IM46" s="1" t="e">
        <f>AND(#REF!,"AAAAAD6///Y=")</f>
        <v>#REF!</v>
      </c>
      <c r="IN46" s="1" t="e">
        <f>AND(#REF!,"AAAAAD6///c=")</f>
        <v>#REF!</v>
      </c>
      <c r="IO46" s="1" t="e">
        <f>AND(#REF!,"AAAAAD6///g=")</f>
        <v>#REF!</v>
      </c>
      <c r="IP46" s="1" t="e">
        <f>AND(#REF!,"AAAAAD6///k=")</f>
        <v>#REF!</v>
      </c>
      <c r="IQ46" s="1" t="e">
        <f>AND(#REF!,"AAAAAD6///o=")</f>
        <v>#REF!</v>
      </c>
      <c r="IR46" s="1" t="e">
        <f>AND(#REF!,"AAAAAD6///s=")</f>
        <v>#REF!</v>
      </c>
      <c r="IS46" s="1" t="e">
        <f>AND(#REF!,"AAAAAD6///w=")</f>
        <v>#REF!</v>
      </c>
      <c r="IT46" s="1" t="e">
        <f>AND(#REF!,"AAAAAD6///0=")</f>
        <v>#REF!</v>
      </c>
      <c r="IU46" s="1" t="e">
        <f>AND(#REF!,"AAAAAD6///4=")</f>
        <v>#REF!</v>
      </c>
      <c r="IV46" s="1" t="e">
        <f>AND(#REF!,"AAAAAD6///8=")</f>
        <v>#REF!</v>
      </c>
    </row>
    <row r="47" spans="1:256" ht="15" customHeight="1" x14ac:dyDescent="0.2">
      <c r="A47" s="1" t="e">
        <f>AND(#REF!,"AAAAAD//uQA=")</f>
        <v>#REF!</v>
      </c>
      <c r="B47" s="1" t="e">
        <f>AND(#REF!,"AAAAAD//uQE=")</f>
        <v>#REF!</v>
      </c>
      <c r="C47" s="1" t="e">
        <f>AND(#REF!,"AAAAAD//uQI=")</f>
        <v>#REF!</v>
      </c>
      <c r="D47" s="1" t="e">
        <f>AND(#REF!,"AAAAAD//uQM=")</f>
        <v>#REF!</v>
      </c>
      <c r="E47" s="1" t="e">
        <f>AND(#REF!,"AAAAAD//uQQ=")</f>
        <v>#REF!</v>
      </c>
      <c r="F47" s="1" t="e">
        <f>AND(#REF!,"AAAAAD//uQU=")</f>
        <v>#REF!</v>
      </c>
      <c r="G47" s="1" t="e">
        <f>AND(#REF!,"AAAAAD//uQY=")</f>
        <v>#REF!</v>
      </c>
      <c r="H47" s="1" t="e">
        <f>AND(#REF!,"AAAAAD//uQc=")</f>
        <v>#REF!</v>
      </c>
      <c r="I47" s="1" t="e">
        <f>AND(#REF!,"AAAAAD//uQg=")</f>
        <v>#REF!</v>
      </c>
      <c r="J47" s="1" t="e">
        <f>AND(#REF!,"AAAAAD//uQk=")</f>
        <v>#REF!</v>
      </c>
      <c r="K47" s="1" t="e">
        <f>AND(#REF!,"AAAAAD//uQo=")</f>
        <v>#REF!</v>
      </c>
      <c r="L47" s="1" t="e">
        <f>AND(#REF!,"AAAAAD//uQs=")</f>
        <v>#REF!</v>
      </c>
      <c r="M47" s="1" t="e">
        <f>AND(#REF!,"AAAAAD//uQw=")</f>
        <v>#REF!</v>
      </c>
      <c r="N47" s="1" t="e">
        <f>IF(#REF!,"AAAAAD//uQ0=",0)</f>
        <v>#REF!</v>
      </c>
      <c r="O47" s="1" t="e">
        <f>AND(#REF!,"AAAAAD//uQ4=")</f>
        <v>#REF!</v>
      </c>
      <c r="P47" s="1" t="e">
        <f>AND(#REF!,"AAAAAD//uQ8=")</f>
        <v>#REF!</v>
      </c>
      <c r="Q47" s="1" t="e">
        <f>AND(#REF!,"AAAAAD//uRA=")</f>
        <v>#REF!</v>
      </c>
      <c r="R47" s="1" t="e">
        <f>AND(#REF!,"AAAAAD//uRE=")</f>
        <v>#REF!</v>
      </c>
      <c r="S47" s="1" t="e">
        <f>AND(#REF!,"AAAAAD//uRI=")</f>
        <v>#REF!</v>
      </c>
      <c r="T47" s="1" t="e">
        <f>AND(#REF!,"AAAAAD//uRM=")</f>
        <v>#REF!</v>
      </c>
      <c r="U47" s="1" t="e">
        <f>AND(#REF!,"AAAAAD//uRQ=")</f>
        <v>#REF!</v>
      </c>
      <c r="V47" s="1" t="e">
        <f>AND(#REF!,"AAAAAD//uRU=")</f>
        <v>#REF!</v>
      </c>
      <c r="W47" s="1" t="e">
        <f>AND(#REF!,"AAAAAD//uRY=")</f>
        <v>#REF!</v>
      </c>
      <c r="X47" s="1" t="e">
        <f>AND(#REF!,"AAAAAD//uRc=")</f>
        <v>#REF!</v>
      </c>
      <c r="Y47" s="1" t="e">
        <f>AND(#REF!,"AAAAAD//uRg=")</f>
        <v>#REF!</v>
      </c>
      <c r="Z47" s="1" t="e">
        <f>AND(#REF!,"AAAAAD//uRk=")</f>
        <v>#REF!</v>
      </c>
      <c r="AA47" s="1" t="e">
        <f>AND(#REF!,"AAAAAD//uRo=")</f>
        <v>#REF!</v>
      </c>
      <c r="AB47" s="1" t="e">
        <f>AND(#REF!,"AAAAAD//uRs=")</f>
        <v>#REF!</v>
      </c>
      <c r="AC47" s="1" t="e">
        <f>AND(#REF!,"AAAAAD//uRw=")</f>
        <v>#REF!</v>
      </c>
      <c r="AD47" s="1" t="e">
        <f>AND(#REF!,"AAAAAD//uR0=")</f>
        <v>#REF!</v>
      </c>
      <c r="AE47" s="1" t="e">
        <f>AND(#REF!,"AAAAAD//uR4=")</f>
        <v>#REF!</v>
      </c>
      <c r="AF47" s="1" t="e">
        <f>AND(#REF!,"AAAAAD//uR8=")</f>
        <v>#REF!</v>
      </c>
      <c r="AG47" s="1" t="e">
        <f>AND(#REF!,"AAAAAD//uSA=")</f>
        <v>#REF!</v>
      </c>
      <c r="AH47" s="1" t="e">
        <f>AND(#REF!,"AAAAAD//uSE=")</f>
        <v>#REF!</v>
      </c>
      <c r="AI47" s="1" t="e">
        <f>AND(#REF!,"AAAAAD//uSI=")</f>
        <v>#REF!</v>
      </c>
      <c r="AJ47" s="1" t="e">
        <f>AND(#REF!,"AAAAAD//uSM=")</f>
        <v>#REF!</v>
      </c>
      <c r="AK47" s="1" t="e">
        <f>AND(#REF!,"AAAAAD//uSQ=")</f>
        <v>#REF!</v>
      </c>
      <c r="AL47" s="1" t="e">
        <f>AND(#REF!,"AAAAAD//uSU=")</f>
        <v>#REF!</v>
      </c>
      <c r="AM47" s="1" t="e">
        <f>AND(#REF!,"AAAAAD//uSY=")</f>
        <v>#REF!</v>
      </c>
      <c r="AN47" s="1" t="e">
        <f>AND(#REF!,"AAAAAD//uSc=")</f>
        <v>#REF!</v>
      </c>
      <c r="AO47" s="1" t="e">
        <f>IF(#REF!,"AAAAAD//uSg=",0)</f>
        <v>#REF!</v>
      </c>
      <c r="AP47" s="1" t="e">
        <f>AND(#REF!,"AAAAAD//uSk=")</f>
        <v>#REF!</v>
      </c>
      <c r="AQ47" s="1" t="e">
        <f>AND(#REF!,"AAAAAD//uSo=")</f>
        <v>#REF!</v>
      </c>
      <c r="AR47" s="1" t="e">
        <f>AND(#REF!,"AAAAAD//uSs=")</f>
        <v>#REF!</v>
      </c>
      <c r="AS47" s="1" t="e">
        <f>AND(#REF!,"AAAAAD//uSw=")</f>
        <v>#REF!</v>
      </c>
      <c r="AT47" s="1" t="e">
        <f>AND(#REF!,"AAAAAD//uS0=")</f>
        <v>#REF!</v>
      </c>
      <c r="AU47" s="1" t="e">
        <f>AND(#REF!,"AAAAAD//uS4=")</f>
        <v>#REF!</v>
      </c>
      <c r="AV47" s="1" t="e">
        <f>AND(#REF!,"AAAAAD//uS8=")</f>
        <v>#REF!</v>
      </c>
      <c r="AW47" s="1" t="e">
        <f>AND(#REF!,"AAAAAD//uTA=")</f>
        <v>#REF!</v>
      </c>
      <c r="AX47" s="1" t="e">
        <f>AND(#REF!,"AAAAAD//uTE=")</f>
        <v>#REF!</v>
      </c>
      <c r="AY47" s="1" t="e">
        <f>AND(#REF!,"AAAAAD//uTI=")</f>
        <v>#REF!</v>
      </c>
      <c r="AZ47" s="1" t="e">
        <f>AND(#REF!,"AAAAAD//uTM=")</f>
        <v>#REF!</v>
      </c>
      <c r="BA47" s="1" t="e">
        <f>AND(#REF!,"AAAAAD//uTQ=")</f>
        <v>#REF!</v>
      </c>
      <c r="BB47" s="1" t="e">
        <f>AND(#REF!,"AAAAAD//uTU=")</f>
        <v>#REF!</v>
      </c>
      <c r="BC47" s="1" t="e">
        <f>AND(#REF!,"AAAAAD//uTY=")</f>
        <v>#REF!</v>
      </c>
      <c r="BD47" s="1" t="e">
        <f>AND(#REF!,"AAAAAD//uTc=")</f>
        <v>#REF!</v>
      </c>
      <c r="BE47" s="1" t="e">
        <f>AND(#REF!,"AAAAAD//uTg=")</f>
        <v>#REF!</v>
      </c>
      <c r="BF47" s="1" t="e">
        <f>AND(#REF!,"AAAAAD//uTk=")</f>
        <v>#REF!</v>
      </c>
      <c r="BG47" s="1" t="e">
        <f>AND(#REF!,"AAAAAD//uTo=")</f>
        <v>#REF!</v>
      </c>
      <c r="BH47" s="1" t="e">
        <f>AND(#REF!,"AAAAAD//uTs=")</f>
        <v>#REF!</v>
      </c>
      <c r="BI47" s="1" t="e">
        <f>AND(#REF!,"AAAAAD//uTw=")</f>
        <v>#REF!</v>
      </c>
      <c r="BJ47" s="1" t="e">
        <f>AND(#REF!,"AAAAAD//uT0=")</f>
        <v>#REF!</v>
      </c>
      <c r="BK47" s="1" t="e">
        <f>AND(#REF!,"AAAAAD//uT4=")</f>
        <v>#REF!</v>
      </c>
      <c r="BL47" s="1" t="e">
        <f>AND(#REF!,"AAAAAD//uT8=")</f>
        <v>#REF!</v>
      </c>
      <c r="BM47" s="1" t="e">
        <f>AND(#REF!,"AAAAAD//uUA=")</f>
        <v>#REF!</v>
      </c>
      <c r="BN47" s="1" t="e">
        <f>AND(#REF!,"AAAAAD//uUE=")</f>
        <v>#REF!</v>
      </c>
      <c r="BO47" s="1" t="e">
        <f>AND(#REF!,"AAAAAD//uUI=")</f>
        <v>#REF!</v>
      </c>
      <c r="BP47" s="1" t="e">
        <f>IF(#REF!,"AAAAAD//uUM=",0)</f>
        <v>#REF!</v>
      </c>
      <c r="BQ47" s="1" t="e">
        <f>AND(#REF!,"AAAAAD//uUQ=")</f>
        <v>#REF!</v>
      </c>
      <c r="BR47" s="1" t="e">
        <f>AND(#REF!,"AAAAAD//uUU=")</f>
        <v>#REF!</v>
      </c>
      <c r="BS47" s="1" t="e">
        <f>AND(#REF!,"AAAAAD//uUY=")</f>
        <v>#REF!</v>
      </c>
      <c r="BT47" s="1" t="e">
        <f>AND(#REF!,"AAAAAD//uUc=")</f>
        <v>#REF!</v>
      </c>
      <c r="BU47" s="1" t="e">
        <f>AND(#REF!,"AAAAAD//uUg=")</f>
        <v>#REF!</v>
      </c>
      <c r="BV47" s="1" t="e">
        <f>AND(#REF!,"AAAAAD//uUk=")</f>
        <v>#REF!</v>
      </c>
      <c r="BW47" s="1" t="e">
        <f>AND(#REF!,"AAAAAD//uUo=")</f>
        <v>#REF!</v>
      </c>
      <c r="BX47" s="1" t="e">
        <f>AND(#REF!,"AAAAAD//uUs=")</f>
        <v>#REF!</v>
      </c>
      <c r="BY47" s="1" t="e">
        <f>AND(#REF!,"AAAAAD//uUw=")</f>
        <v>#REF!</v>
      </c>
      <c r="BZ47" s="1" t="e">
        <f>AND(#REF!,"AAAAAD//uU0=")</f>
        <v>#REF!</v>
      </c>
      <c r="CA47" s="1" t="e">
        <f>AND(#REF!,"AAAAAD//uU4=")</f>
        <v>#REF!</v>
      </c>
      <c r="CB47" s="1" t="e">
        <f>AND(#REF!,"AAAAAD//uU8=")</f>
        <v>#REF!</v>
      </c>
      <c r="CC47" s="1" t="e">
        <f>AND(#REF!,"AAAAAD//uVA=")</f>
        <v>#REF!</v>
      </c>
      <c r="CD47" s="1" t="e">
        <f>AND(#REF!,"AAAAAD//uVE=")</f>
        <v>#REF!</v>
      </c>
      <c r="CE47" s="1" t="e">
        <f>AND(#REF!,"AAAAAD//uVI=")</f>
        <v>#REF!</v>
      </c>
      <c r="CF47" s="1" t="e">
        <f>AND(#REF!,"AAAAAD//uVM=")</f>
        <v>#REF!</v>
      </c>
      <c r="CG47" s="1" t="e">
        <f>AND(#REF!,"AAAAAD//uVQ=")</f>
        <v>#REF!</v>
      </c>
      <c r="CH47" s="1" t="e">
        <f>AND(#REF!,"AAAAAD//uVU=")</f>
        <v>#REF!</v>
      </c>
      <c r="CI47" s="1" t="e">
        <f>AND(#REF!,"AAAAAD//uVY=")</f>
        <v>#REF!</v>
      </c>
      <c r="CJ47" s="1" t="e">
        <f>AND(#REF!,"AAAAAD//uVc=")</f>
        <v>#REF!</v>
      </c>
      <c r="CK47" s="1" t="e">
        <f>AND(#REF!,"AAAAAD//uVg=")</f>
        <v>#REF!</v>
      </c>
      <c r="CL47" s="1" t="e">
        <f>AND(#REF!,"AAAAAD//uVk=")</f>
        <v>#REF!</v>
      </c>
      <c r="CM47" s="1" t="e">
        <f>AND(#REF!,"AAAAAD//uVo=")</f>
        <v>#REF!</v>
      </c>
      <c r="CN47" s="1" t="e">
        <f>AND(#REF!,"AAAAAD//uVs=")</f>
        <v>#REF!</v>
      </c>
      <c r="CO47" s="1" t="e">
        <f>AND(#REF!,"AAAAAD//uVw=")</f>
        <v>#REF!</v>
      </c>
      <c r="CP47" s="1" t="e">
        <f>AND(#REF!,"AAAAAD//uV0=")</f>
        <v>#REF!</v>
      </c>
      <c r="CQ47" s="1" t="e">
        <f>IF(#REF!,"AAAAAD//uV4=",0)</f>
        <v>#REF!</v>
      </c>
      <c r="CR47" s="1" t="e">
        <f>AND(#REF!,"AAAAAD//uV8=")</f>
        <v>#REF!</v>
      </c>
      <c r="CS47" s="1" t="e">
        <f>AND(#REF!,"AAAAAD//uWA=")</f>
        <v>#REF!</v>
      </c>
      <c r="CT47" s="1" t="e">
        <f>AND(#REF!,"AAAAAD//uWE=")</f>
        <v>#REF!</v>
      </c>
      <c r="CU47" s="1" t="e">
        <f>AND(#REF!,"AAAAAD//uWI=")</f>
        <v>#REF!</v>
      </c>
      <c r="CV47" s="1" t="e">
        <f>AND(#REF!,"AAAAAD//uWM=")</f>
        <v>#REF!</v>
      </c>
      <c r="CW47" s="1" t="e">
        <f>AND(#REF!,"AAAAAD//uWQ=")</f>
        <v>#REF!</v>
      </c>
      <c r="CX47" s="1" t="e">
        <f>AND(#REF!,"AAAAAD//uWU=")</f>
        <v>#REF!</v>
      </c>
      <c r="CY47" s="1" t="e">
        <f>AND(#REF!,"AAAAAD//uWY=")</f>
        <v>#REF!</v>
      </c>
      <c r="CZ47" s="1" t="e">
        <f>AND(#REF!,"AAAAAD//uWc=")</f>
        <v>#REF!</v>
      </c>
      <c r="DA47" s="1" t="e">
        <f>AND(#REF!,"AAAAAD//uWg=")</f>
        <v>#REF!</v>
      </c>
      <c r="DB47" s="1" t="e">
        <f>AND(#REF!,"AAAAAD//uWk=")</f>
        <v>#REF!</v>
      </c>
      <c r="DC47" s="1" t="e">
        <f>AND(#REF!,"AAAAAD//uWo=")</f>
        <v>#REF!</v>
      </c>
      <c r="DD47" s="1" t="e">
        <f>AND(#REF!,"AAAAAD//uWs=")</f>
        <v>#REF!</v>
      </c>
      <c r="DE47" s="1" t="e">
        <f>AND(#REF!,"AAAAAD//uWw=")</f>
        <v>#REF!</v>
      </c>
      <c r="DF47" s="1" t="e">
        <f>AND(#REF!,"AAAAAD//uW0=")</f>
        <v>#REF!</v>
      </c>
      <c r="DG47" s="1" t="e">
        <f>AND(#REF!,"AAAAAD//uW4=")</f>
        <v>#REF!</v>
      </c>
      <c r="DH47" s="1" t="e">
        <f>AND(#REF!,"AAAAAD//uW8=")</f>
        <v>#REF!</v>
      </c>
      <c r="DI47" s="1" t="e">
        <f>AND(#REF!,"AAAAAD//uXA=")</f>
        <v>#REF!</v>
      </c>
      <c r="DJ47" s="1" t="e">
        <f>AND(#REF!,"AAAAAD//uXE=")</f>
        <v>#REF!</v>
      </c>
      <c r="DK47" s="1" t="e">
        <f>AND(#REF!,"AAAAAD//uXI=")</f>
        <v>#REF!</v>
      </c>
      <c r="DL47" s="1" t="e">
        <f>AND(#REF!,"AAAAAD//uXM=")</f>
        <v>#REF!</v>
      </c>
      <c r="DM47" s="1" t="e">
        <f>AND(#REF!,"AAAAAD//uXQ=")</f>
        <v>#REF!</v>
      </c>
      <c r="DN47" s="1" t="e">
        <f>AND(#REF!,"AAAAAD//uXU=")</f>
        <v>#REF!</v>
      </c>
      <c r="DO47" s="1" t="e">
        <f>AND(#REF!,"AAAAAD//uXY=")</f>
        <v>#REF!</v>
      </c>
      <c r="DP47" s="1" t="e">
        <f>AND(#REF!,"AAAAAD//uXc=")</f>
        <v>#REF!</v>
      </c>
      <c r="DQ47" s="1" t="e">
        <f>AND(#REF!,"AAAAAD//uXg=")</f>
        <v>#REF!</v>
      </c>
      <c r="DR47" s="1" t="e">
        <f>IF(#REF!,"AAAAAD//uXk=",0)</f>
        <v>#REF!</v>
      </c>
      <c r="DS47" s="1" t="e">
        <f>AND(#REF!,"AAAAAD//uXo=")</f>
        <v>#REF!</v>
      </c>
      <c r="DT47" s="1" t="e">
        <f>AND(#REF!,"AAAAAD//uXs=")</f>
        <v>#REF!</v>
      </c>
      <c r="DU47" s="1" t="e">
        <f>AND(#REF!,"AAAAAD//uXw=")</f>
        <v>#REF!</v>
      </c>
      <c r="DV47" s="1" t="e">
        <f>AND(#REF!,"AAAAAD//uX0=")</f>
        <v>#REF!</v>
      </c>
      <c r="DW47" s="1" t="e">
        <f>AND(#REF!,"AAAAAD//uX4=")</f>
        <v>#REF!</v>
      </c>
      <c r="DX47" s="1" t="e">
        <f>AND(#REF!,"AAAAAD//uX8=")</f>
        <v>#REF!</v>
      </c>
      <c r="DY47" s="1" t="e">
        <f>AND(#REF!,"AAAAAD//uYA=")</f>
        <v>#REF!</v>
      </c>
      <c r="DZ47" s="1" t="e">
        <f>AND(#REF!,"AAAAAD//uYE=")</f>
        <v>#REF!</v>
      </c>
      <c r="EA47" s="1" t="e">
        <f>AND(#REF!,"AAAAAD//uYI=")</f>
        <v>#REF!</v>
      </c>
      <c r="EB47" s="1" t="e">
        <f>AND(#REF!,"AAAAAD//uYM=")</f>
        <v>#REF!</v>
      </c>
      <c r="EC47" s="1" t="e">
        <f>AND(#REF!,"AAAAAD//uYQ=")</f>
        <v>#REF!</v>
      </c>
      <c r="ED47" s="1" t="e">
        <f>AND(#REF!,"AAAAAD//uYU=")</f>
        <v>#REF!</v>
      </c>
      <c r="EE47" s="1" t="e">
        <f>AND(#REF!,"AAAAAD//uYY=")</f>
        <v>#REF!</v>
      </c>
      <c r="EF47" s="1" t="e">
        <f>AND(#REF!,"AAAAAD//uYc=")</f>
        <v>#REF!</v>
      </c>
      <c r="EG47" s="1" t="e">
        <f>AND(#REF!,"AAAAAD//uYg=")</f>
        <v>#REF!</v>
      </c>
      <c r="EH47" s="1" t="e">
        <f>AND(#REF!,"AAAAAD//uYk=")</f>
        <v>#REF!</v>
      </c>
      <c r="EI47" s="1" t="e">
        <f>AND(#REF!,"AAAAAD//uYo=")</f>
        <v>#REF!</v>
      </c>
      <c r="EJ47" s="1" t="e">
        <f>AND(#REF!,"AAAAAD//uYs=")</f>
        <v>#REF!</v>
      </c>
      <c r="EK47" s="1" t="e">
        <f>AND(#REF!,"AAAAAD//uYw=")</f>
        <v>#REF!</v>
      </c>
      <c r="EL47" s="1" t="e">
        <f>AND(#REF!,"AAAAAD//uY0=")</f>
        <v>#REF!</v>
      </c>
      <c r="EM47" s="1" t="e">
        <f>AND(#REF!,"AAAAAD//uY4=")</f>
        <v>#REF!</v>
      </c>
      <c r="EN47" s="1" t="e">
        <f>AND(#REF!,"AAAAAD//uY8=")</f>
        <v>#REF!</v>
      </c>
      <c r="EO47" s="1" t="e">
        <f>AND(#REF!,"AAAAAD//uZA=")</f>
        <v>#REF!</v>
      </c>
      <c r="EP47" s="1" t="e">
        <f>AND(#REF!,"AAAAAD//uZE=")</f>
        <v>#REF!</v>
      </c>
      <c r="EQ47" s="1" t="e">
        <f>AND(#REF!,"AAAAAD//uZI=")</f>
        <v>#REF!</v>
      </c>
      <c r="ER47" s="1" t="e">
        <f>AND(#REF!,"AAAAAD//uZM=")</f>
        <v>#REF!</v>
      </c>
      <c r="ES47" s="1" t="e">
        <f>IF(#REF!,"AAAAAD//uZQ=",0)</f>
        <v>#REF!</v>
      </c>
      <c r="ET47" s="1" t="e">
        <f>AND(#REF!,"AAAAAD//uZU=")</f>
        <v>#REF!</v>
      </c>
      <c r="EU47" s="1" t="e">
        <f>AND(#REF!,"AAAAAD//uZY=")</f>
        <v>#REF!</v>
      </c>
      <c r="EV47" s="1" t="e">
        <f>AND(#REF!,"AAAAAD//uZc=")</f>
        <v>#REF!</v>
      </c>
      <c r="EW47" s="1" t="e">
        <f>AND(#REF!,"AAAAAD//uZg=")</f>
        <v>#REF!</v>
      </c>
      <c r="EX47" s="1" t="e">
        <f>AND(#REF!,"AAAAAD//uZk=")</f>
        <v>#REF!</v>
      </c>
      <c r="EY47" s="1" t="e">
        <f>AND(#REF!,"AAAAAD//uZo=")</f>
        <v>#REF!</v>
      </c>
      <c r="EZ47" s="1" t="e">
        <f>AND(#REF!,"AAAAAD//uZs=")</f>
        <v>#REF!</v>
      </c>
      <c r="FA47" s="1" t="e">
        <f>AND(#REF!,"AAAAAD//uZw=")</f>
        <v>#REF!</v>
      </c>
      <c r="FB47" s="1" t="e">
        <f>AND(#REF!,"AAAAAD//uZ0=")</f>
        <v>#REF!</v>
      </c>
      <c r="FC47" s="1" t="e">
        <f>AND(#REF!,"AAAAAD//uZ4=")</f>
        <v>#REF!</v>
      </c>
      <c r="FD47" s="1" t="e">
        <f>AND(#REF!,"AAAAAD//uZ8=")</f>
        <v>#REF!</v>
      </c>
      <c r="FE47" s="1" t="e">
        <f>AND(#REF!,"AAAAAD//uaA=")</f>
        <v>#REF!</v>
      </c>
      <c r="FF47" s="1" t="e">
        <f>AND(#REF!,"AAAAAD//uaE=")</f>
        <v>#REF!</v>
      </c>
      <c r="FG47" s="1" t="e">
        <f>AND(#REF!,"AAAAAD//uaI=")</f>
        <v>#REF!</v>
      </c>
      <c r="FH47" s="1" t="e">
        <f>AND(#REF!,"AAAAAD//uaM=")</f>
        <v>#REF!</v>
      </c>
      <c r="FI47" s="1" t="e">
        <f>AND(#REF!,"AAAAAD//uaQ=")</f>
        <v>#REF!</v>
      </c>
      <c r="FJ47" s="1" t="e">
        <f>AND(#REF!,"AAAAAD//uaU=")</f>
        <v>#REF!</v>
      </c>
      <c r="FK47" s="1" t="e">
        <f>AND(#REF!,"AAAAAD//uaY=")</f>
        <v>#REF!</v>
      </c>
      <c r="FL47" s="1" t="e">
        <f>AND(#REF!,"AAAAAD//uac=")</f>
        <v>#REF!</v>
      </c>
      <c r="FM47" s="1" t="e">
        <f>AND(#REF!,"AAAAAD//uag=")</f>
        <v>#REF!</v>
      </c>
      <c r="FN47" s="1" t="e">
        <f>AND(#REF!,"AAAAAD//uak=")</f>
        <v>#REF!</v>
      </c>
      <c r="FO47" s="1" t="e">
        <f>AND(#REF!,"AAAAAD//uao=")</f>
        <v>#REF!</v>
      </c>
      <c r="FP47" s="1" t="e">
        <f>AND(#REF!,"AAAAAD//uas=")</f>
        <v>#REF!</v>
      </c>
      <c r="FQ47" s="1" t="e">
        <f>AND(#REF!,"AAAAAD//uaw=")</f>
        <v>#REF!</v>
      </c>
      <c r="FR47" s="1" t="e">
        <f>AND(#REF!,"AAAAAD//ua0=")</f>
        <v>#REF!</v>
      </c>
      <c r="FS47" s="1" t="e">
        <f>AND(#REF!,"AAAAAD//ua4=")</f>
        <v>#REF!</v>
      </c>
      <c r="FT47" s="1" t="e">
        <f>IF(#REF!,"AAAAAD//ua8=",0)</f>
        <v>#REF!</v>
      </c>
      <c r="FU47" s="1" t="e">
        <f>AND(#REF!,"AAAAAD//ubA=")</f>
        <v>#REF!</v>
      </c>
      <c r="FV47" s="1" t="e">
        <f>AND(#REF!,"AAAAAD//ubE=")</f>
        <v>#REF!</v>
      </c>
      <c r="FW47" s="1" t="e">
        <f>AND(#REF!,"AAAAAD//ubI=")</f>
        <v>#REF!</v>
      </c>
      <c r="FX47" s="1" t="e">
        <f>AND(#REF!,"AAAAAD//ubM=")</f>
        <v>#REF!</v>
      </c>
      <c r="FY47" s="1" t="e">
        <f>AND(#REF!,"AAAAAD//ubQ=")</f>
        <v>#REF!</v>
      </c>
      <c r="FZ47" s="1" t="e">
        <f>AND(#REF!,"AAAAAD//ubU=")</f>
        <v>#REF!</v>
      </c>
      <c r="GA47" s="1" t="e">
        <f>AND(#REF!,"AAAAAD//ubY=")</f>
        <v>#REF!</v>
      </c>
      <c r="GB47" s="1" t="e">
        <f>AND(#REF!,"AAAAAD//ubc=")</f>
        <v>#REF!</v>
      </c>
      <c r="GC47" s="1" t="e">
        <f>AND(#REF!,"AAAAAD//ubg=")</f>
        <v>#REF!</v>
      </c>
      <c r="GD47" s="1" t="e">
        <f>AND(#REF!,"AAAAAD//ubk=")</f>
        <v>#REF!</v>
      </c>
      <c r="GE47" s="1" t="e">
        <f>AND(#REF!,"AAAAAD//ubo=")</f>
        <v>#REF!</v>
      </c>
      <c r="GF47" s="1" t="e">
        <f>AND(#REF!,"AAAAAD//ubs=")</f>
        <v>#REF!</v>
      </c>
      <c r="GG47" s="1" t="e">
        <f>AND(#REF!,"AAAAAD//ubw=")</f>
        <v>#REF!</v>
      </c>
      <c r="GH47" s="1" t="e">
        <f>AND(#REF!,"AAAAAD//ub0=")</f>
        <v>#REF!</v>
      </c>
      <c r="GI47" s="1" t="e">
        <f>AND(#REF!,"AAAAAD//ub4=")</f>
        <v>#REF!</v>
      </c>
      <c r="GJ47" s="1" t="e">
        <f>AND(#REF!,"AAAAAD//ub8=")</f>
        <v>#REF!</v>
      </c>
      <c r="GK47" s="1" t="e">
        <f>AND(#REF!,"AAAAAD//ucA=")</f>
        <v>#REF!</v>
      </c>
      <c r="GL47" s="1" t="e">
        <f>AND(#REF!,"AAAAAD//ucE=")</f>
        <v>#REF!</v>
      </c>
      <c r="GM47" s="1" t="e">
        <f>AND(#REF!,"AAAAAD//ucI=")</f>
        <v>#REF!</v>
      </c>
      <c r="GN47" s="1" t="e">
        <f>AND(#REF!,"AAAAAD//ucM=")</f>
        <v>#REF!</v>
      </c>
      <c r="GO47" s="1" t="e">
        <f>AND(#REF!,"AAAAAD//ucQ=")</f>
        <v>#REF!</v>
      </c>
      <c r="GP47" s="1" t="e">
        <f>AND(#REF!,"AAAAAD//ucU=")</f>
        <v>#REF!</v>
      </c>
      <c r="GQ47" s="1" t="e">
        <f>AND(#REF!,"AAAAAD//ucY=")</f>
        <v>#REF!</v>
      </c>
      <c r="GR47" s="1" t="e">
        <f>AND(#REF!,"AAAAAD//ucc=")</f>
        <v>#REF!</v>
      </c>
      <c r="GS47" s="1" t="e">
        <f>AND(#REF!,"AAAAAD//ucg=")</f>
        <v>#REF!</v>
      </c>
      <c r="GT47" s="1" t="e">
        <f>AND(#REF!,"AAAAAD//uck=")</f>
        <v>#REF!</v>
      </c>
      <c r="GU47" s="1" t="e">
        <f>IF(#REF!,"AAAAAD//uco=",0)</f>
        <v>#REF!</v>
      </c>
      <c r="GV47" s="1" t="e">
        <f>AND(#REF!,"AAAAAD//ucs=")</f>
        <v>#REF!</v>
      </c>
      <c r="GW47" s="1" t="e">
        <f>AND(#REF!,"AAAAAD//ucw=")</f>
        <v>#REF!</v>
      </c>
      <c r="GX47" s="1" t="e">
        <f>AND(#REF!,"AAAAAD//uc0=")</f>
        <v>#REF!</v>
      </c>
      <c r="GY47" s="1" t="e">
        <f>AND(#REF!,"AAAAAD//uc4=")</f>
        <v>#REF!</v>
      </c>
      <c r="GZ47" s="1" t="e">
        <f>AND(#REF!,"AAAAAD//uc8=")</f>
        <v>#REF!</v>
      </c>
      <c r="HA47" s="1" t="e">
        <f>AND(#REF!,"AAAAAD//udA=")</f>
        <v>#REF!</v>
      </c>
      <c r="HB47" s="1" t="e">
        <f>AND(#REF!,"AAAAAD//udE=")</f>
        <v>#REF!</v>
      </c>
      <c r="HC47" s="1" t="e">
        <f>AND(#REF!,"AAAAAD//udI=")</f>
        <v>#REF!</v>
      </c>
      <c r="HD47" s="1" t="e">
        <f>AND(#REF!,"AAAAAD//udM=")</f>
        <v>#REF!</v>
      </c>
      <c r="HE47" s="1" t="e">
        <f>AND(#REF!,"AAAAAD//udQ=")</f>
        <v>#REF!</v>
      </c>
      <c r="HF47" s="1" t="e">
        <f>AND(#REF!,"AAAAAD//udU=")</f>
        <v>#REF!</v>
      </c>
      <c r="HG47" s="1" t="e">
        <f>AND(#REF!,"AAAAAD//udY=")</f>
        <v>#REF!</v>
      </c>
      <c r="HH47" s="1" t="e">
        <f>AND(#REF!,"AAAAAD//udc=")</f>
        <v>#REF!</v>
      </c>
      <c r="HI47" s="1" t="e">
        <f>AND(#REF!,"AAAAAD//udg=")</f>
        <v>#REF!</v>
      </c>
      <c r="HJ47" s="1" t="e">
        <f>AND(#REF!,"AAAAAD//udk=")</f>
        <v>#REF!</v>
      </c>
      <c r="HK47" s="1" t="e">
        <f>AND(#REF!,"AAAAAD//udo=")</f>
        <v>#REF!</v>
      </c>
      <c r="HL47" s="1" t="e">
        <f>AND(#REF!,"AAAAAD//uds=")</f>
        <v>#REF!</v>
      </c>
      <c r="HM47" s="1" t="e">
        <f>AND(#REF!,"AAAAAD//udw=")</f>
        <v>#REF!</v>
      </c>
      <c r="HN47" s="1" t="e">
        <f>AND(#REF!,"AAAAAD//ud0=")</f>
        <v>#REF!</v>
      </c>
      <c r="HO47" s="1" t="e">
        <f>AND(#REF!,"AAAAAD//ud4=")</f>
        <v>#REF!</v>
      </c>
      <c r="HP47" s="1" t="e">
        <f>AND(#REF!,"AAAAAD//ud8=")</f>
        <v>#REF!</v>
      </c>
      <c r="HQ47" s="1" t="e">
        <f>AND(#REF!,"AAAAAD//ueA=")</f>
        <v>#REF!</v>
      </c>
      <c r="HR47" s="1" t="e">
        <f>AND(#REF!,"AAAAAD//ueE=")</f>
        <v>#REF!</v>
      </c>
      <c r="HS47" s="1" t="e">
        <f>AND(#REF!,"AAAAAD//ueI=")</f>
        <v>#REF!</v>
      </c>
      <c r="HT47" s="1" t="e">
        <f>AND(#REF!,"AAAAAD//ueM=")</f>
        <v>#REF!</v>
      </c>
      <c r="HU47" s="1" t="e">
        <f>AND(#REF!,"AAAAAD//ueQ=")</f>
        <v>#REF!</v>
      </c>
      <c r="HV47" s="1" t="e">
        <f>IF(#REF!,"AAAAAD//ueU=",0)</f>
        <v>#REF!</v>
      </c>
      <c r="HW47" s="1" t="e">
        <f>AND(#REF!,"AAAAAD//ueY=")</f>
        <v>#REF!</v>
      </c>
      <c r="HX47" s="1" t="e">
        <f>AND(#REF!,"AAAAAD//uec=")</f>
        <v>#REF!</v>
      </c>
      <c r="HY47" s="1" t="e">
        <f>AND(#REF!,"AAAAAD//ueg=")</f>
        <v>#REF!</v>
      </c>
      <c r="HZ47" s="1" t="e">
        <f>AND(#REF!,"AAAAAD//uek=")</f>
        <v>#REF!</v>
      </c>
      <c r="IA47" s="1" t="e">
        <f>AND(#REF!,"AAAAAD//ueo=")</f>
        <v>#REF!</v>
      </c>
      <c r="IB47" s="1" t="e">
        <f>AND(#REF!,"AAAAAD//ues=")</f>
        <v>#REF!</v>
      </c>
      <c r="IC47" s="1" t="e">
        <f>AND(#REF!,"AAAAAD//uew=")</f>
        <v>#REF!</v>
      </c>
      <c r="ID47" s="1" t="e">
        <f>AND(#REF!,"AAAAAD//ue0=")</f>
        <v>#REF!</v>
      </c>
      <c r="IE47" s="1" t="e">
        <f>AND(#REF!,"AAAAAD//ue4=")</f>
        <v>#REF!</v>
      </c>
      <c r="IF47" s="1" t="e">
        <f>AND(#REF!,"AAAAAD//ue8=")</f>
        <v>#REF!</v>
      </c>
      <c r="IG47" s="1" t="e">
        <f>AND(#REF!,"AAAAAD//ufA=")</f>
        <v>#REF!</v>
      </c>
      <c r="IH47" s="1" t="e">
        <f>AND(#REF!,"AAAAAD//ufE=")</f>
        <v>#REF!</v>
      </c>
      <c r="II47" s="1" t="e">
        <f>AND(#REF!,"AAAAAD//ufI=")</f>
        <v>#REF!</v>
      </c>
      <c r="IJ47" s="1" t="e">
        <f>AND(#REF!,"AAAAAD//ufM=")</f>
        <v>#REF!</v>
      </c>
      <c r="IK47" s="1" t="e">
        <f>AND(#REF!,"AAAAAD//ufQ=")</f>
        <v>#REF!</v>
      </c>
      <c r="IL47" s="1" t="e">
        <f>AND(#REF!,"AAAAAD//ufU=")</f>
        <v>#REF!</v>
      </c>
      <c r="IM47" s="1" t="e">
        <f>AND(#REF!,"AAAAAD//ufY=")</f>
        <v>#REF!</v>
      </c>
      <c r="IN47" s="1" t="e">
        <f>AND(#REF!,"AAAAAD//ufc=")</f>
        <v>#REF!</v>
      </c>
      <c r="IO47" s="1" t="e">
        <f>AND(#REF!,"AAAAAD//ufg=")</f>
        <v>#REF!</v>
      </c>
      <c r="IP47" s="1" t="e">
        <f>AND(#REF!,"AAAAAD//ufk=")</f>
        <v>#REF!</v>
      </c>
      <c r="IQ47" s="1" t="e">
        <f>AND(#REF!,"AAAAAD//ufo=")</f>
        <v>#REF!</v>
      </c>
      <c r="IR47" s="1" t="e">
        <f>AND(#REF!,"AAAAAD//ufs=")</f>
        <v>#REF!</v>
      </c>
      <c r="IS47" s="1" t="e">
        <f>AND(#REF!,"AAAAAD//ufw=")</f>
        <v>#REF!</v>
      </c>
      <c r="IT47" s="1" t="e">
        <f>AND(#REF!,"AAAAAD//uf0=")</f>
        <v>#REF!</v>
      </c>
      <c r="IU47" s="1" t="e">
        <f>AND(#REF!,"AAAAAD//uf4=")</f>
        <v>#REF!</v>
      </c>
      <c r="IV47" s="1" t="e">
        <f>AND(#REF!,"AAAAAD//uf8=")</f>
        <v>#REF!</v>
      </c>
    </row>
    <row r="48" spans="1:256" ht="15" customHeight="1" x14ac:dyDescent="0.2">
      <c r="A48" s="1" t="e">
        <f>IF(#REF!,"AAAAAH99/wA=",0)</f>
        <v>#REF!</v>
      </c>
      <c r="B48" s="1" t="e">
        <f>AND(#REF!,"AAAAAH99/wE=")</f>
        <v>#REF!</v>
      </c>
      <c r="C48" s="1" t="e">
        <f>AND(#REF!,"AAAAAH99/wI=")</f>
        <v>#REF!</v>
      </c>
      <c r="D48" s="1" t="e">
        <f>AND(#REF!,"AAAAAH99/wM=")</f>
        <v>#REF!</v>
      </c>
      <c r="E48" s="1" t="e">
        <f>AND(#REF!,"AAAAAH99/wQ=")</f>
        <v>#REF!</v>
      </c>
      <c r="F48" s="1" t="e">
        <f>AND(#REF!,"AAAAAH99/wU=")</f>
        <v>#REF!</v>
      </c>
      <c r="G48" s="1" t="e">
        <f>AND(#REF!,"AAAAAH99/wY=")</f>
        <v>#REF!</v>
      </c>
      <c r="H48" s="1" t="e">
        <f>AND(#REF!,"AAAAAH99/wc=")</f>
        <v>#REF!</v>
      </c>
      <c r="I48" s="1" t="e">
        <f>AND(#REF!,"AAAAAH99/wg=")</f>
        <v>#REF!</v>
      </c>
      <c r="J48" s="1" t="e">
        <f>AND(#REF!,"AAAAAH99/wk=")</f>
        <v>#REF!</v>
      </c>
      <c r="K48" s="1" t="e">
        <f>AND(#REF!,"AAAAAH99/wo=")</f>
        <v>#REF!</v>
      </c>
      <c r="L48" s="1" t="e">
        <f>AND(#REF!,"AAAAAH99/ws=")</f>
        <v>#REF!</v>
      </c>
      <c r="M48" s="1" t="e">
        <f>AND(#REF!,"AAAAAH99/ww=")</f>
        <v>#REF!</v>
      </c>
      <c r="N48" s="1" t="e">
        <f>AND(#REF!,"AAAAAH99/w0=")</f>
        <v>#REF!</v>
      </c>
      <c r="O48" s="1" t="e">
        <f>AND(#REF!,"AAAAAH99/w4=")</f>
        <v>#REF!</v>
      </c>
      <c r="P48" s="1" t="e">
        <f>AND(#REF!,"AAAAAH99/w8=")</f>
        <v>#REF!</v>
      </c>
      <c r="Q48" s="1" t="e">
        <f>AND(#REF!,"AAAAAH99/xA=")</f>
        <v>#REF!</v>
      </c>
      <c r="R48" s="1" t="e">
        <f>AND(#REF!,"AAAAAH99/xE=")</f>
        <v>#REF!</v>
      </c>
      <c r="S48" s="1" t="e">
        <f>AND(#REF!,"AAAAAH99/xI=")</f>
        <v>#REF!</v>
      </c>
      <c r="T48" s="1" t="e">
        <f>AND(#REF!,"AAAAAH99/xM=")</f>
        <v>#REF!</v>
      </c>
      <c r="U48" s="1" t="e">
        <f>AND(#REF!,"AAAAAH99/xQ=")</f>
        <v>#REF!</v>
      </c>
      <c r="V48" s="1" t="e">
        <f>AND(#REF!,"AAAAAH99/xU=")</f>
        <v>#REF!</v>
      </c>
      <c r="W48" s="1" t="e">
        <f>AND(#REF!,"AAAAAH99/xY=")</f>
        <v>#REF!</v>
      </c>
      <c r="X48" s="1" t="e">
        <f>AND(#REF!,"AAAAAH99/xc=")</f>
        <v>#REF!</v>
      </c>
      <c r="Y48" s="1" t="e">
        <f>AND(#REF!,"AAAAAH99/xg=")</f>
        <v>#REF!</v>
      </c>
      <c r="Z48" s="1" t="e">
        <f>AND(#REF!,"AAAAAH99/xk=")</f>
        <v>#REF!</v>
      </c>
      <c r="AA48" s="1" t="e">
        <f>AND(#REF!,"AAAAAH99/xo=")</f>
        <v>#REF!</v>
      </c>
      <c r="AB48" s="1" t="e">
        <f>IF(#REF!,"AAAAAH99/xs=",0)</f>
        <v>#REF!</v>
      </c>
      <c r="AC48" s="1" t="e">
        <f>AND(#REF!,"AAAAAH99/xw=")</f>
        <v>#REF!</v>
      </c>
      <c r="AD48" s="1" t="e">
        <f>AND(#REF!,"AAAAAH99/x0=")</f>
        <v>#REF!</v>
      </c>
      <c r="AE48" s="1" t="e">
        <f>AND(#REF!,"AAAAAH99/x4=")</f>
        <v>#REF!</v>
      </c>
      <c r="AF48" s="1" t="e">
        <f>AND(#REF!,"AAAAAH99/x8=")</f>
        <v>#REF!</v>
      </c>
      <c r="AG48" s="1" t="e">
        <f>AND(#REF!,"AAAAAH99/yA=")</f>
        <v>#REF!</v>
      </c>
      <c r="AH48" s="1" t="e">
        <f>AND(#REF!,"AAAAAH99/yE=")</f>
        <v>#REF!</v>
      </c>
      <c r="AI48" s="1" t="e">
        <f>AND(#REF!,"AAAAAH99/yI=")</f>
        <v>#REF!</v>
      </c>
      <c r="AJ48" s="1" t="e">
        <f>AND(#REF!,"AAAAAH99/yM=")</f>
        <v>#REF!</v>
      </c>
      <c r="AK48" s="1" t="e">
        <f>AND(#REF!,"AAAAAH99/yQ=")</f>
        <v>#REF!</v>
      </c>
      <c r="AL48" s="1" t="e">
        <f>AND(#REF!,"AAAAAH99/yU=")</f>
        <v>#REF!</v>
      </c>
      <c r="AM48" s="1" t="e">
        <f>AND(#REF!,"AAAAAH99/yY=")</f>
        <v>#REF!</v>
      </c>
      <c r="AN48" s="1" t="e">
        <f>AND(#REF!,"AAAAAH99/yc=")</f>
        <v>#REF!</v>
      </c>
      <c r="AO48" s="1" t="e">
        <f>AND(#REF!,"AAAAAH99/yg=")</f>
        <v>#REF!</v>
      </c>
      <c r="AP48" s="1" t="e">
        <f>AND(#REF!,"AAAAAH99/yk=")</f>
        <v>#REF!</v>
      </c>
      <c r="AQ48" s="1" t="e">
        <f>AND(#REF!,"AAAAAH99/yo=")</f>
        <v>#REF!</v>
      </c>
      <c r="AR48" s="1" t="e">
        <f>AND(#REF!,"AAAAAH99/ys=")</f>
        <v>#REF!</v>
      </c>
      <c r="AS48" s="1" t="e">
        <f>AND(#REF!,"AAAAAH99/yw=")</f>
        <v>#REF!</v>
      </c>
      <c r="AT48" s="1" t="e">
        <f>AND(#REF!,"AAAAAH99/y0=")</f>
        <v>#REF!</v>
      </c>
      <c r="AU48" s="1" t="e">
        <f>AND(#REF!,"AAAAAH99/y4=")</f>
        <v>#REF!</v>
      </c>
      <c r="AV48" s="1" t="e">
        <f>AND(#REF!,"AAAAAH99/y8=")</f>
        <v>#REF!</v>
      </c>
      <c r="AW48" s="1" t="e">
        <f>AND(#REF!,"AAAAAH99/zA=")</f>
        <v>#REF!</v>
      </c>
      <c r="AX48" s="1" t="e">
        <f>AND(#REF!,"AAAAAH99/zE=")</f>
        <v>#REF!</v>
      </c>
      <c r="AY48" s="1" t="e">
        <f>AND(#REF!,"AAAAAH99/zI=")</f>
        <v>#REF!</v>
      </c>
      <c r="AZ48" s="1" t="e">
        <f>AND(#REF!,"AAAAAH99/zM=")</f>
        <v>#REF!</v>
      </c>
      <c r="BA48" s="1" t="e">
        <f>AND(#REF!,"AAAAAH99/zQ=")</f>
        <v>#REF!</v>
      </c>
      <c r="BB48" s="1" t="e">
        <f>AND(#REF!,"AAAAAH99/zU=")</f>
        <v>#REF!</v>
      </c>
      <c r="BC48" s="1" t="e">
        <f>IF(#REF!,"AAAAAH99/zY=",0)</f>
        <v>#REF!</v>
      </c>
      <c r="BD48" s="1" t="e">
        <f>AND(#REF!,"AAAAAH99/zc=")</f>
        <v>#REF!</v>
      </c>
      <c r="BE48" s="1" t="e">
        <f>AND(#REF!,"AAAAAH99/zg=")</f>
        <v>#REF!</v>
      </c>
      <c r="BF48" s="1" t="e">
        <f>AND(#REF!,"AAAAAH99/zk=")</f>
        <v>#REF!</v>
      </c>
      <c r="BG48" s="1" t="e">
        <f>AND(#REF!,"AAAAAH99/zo=")</f>
        <v>#REF!</v>
      </c>
      <c r="BH48" s="1" t="e">
        <f>AND(#REF!,"AAAAAH99/zs=")</f>
        <v>#REF!</v>
      </c>
      <c r="BI48" s="1" t="e">
        <f>AND(#REF!,"AAAAAH99/zw=")</f>
        <v>#REF!</v>
      </c>
      <c r="BJ48" s="1" t="e">
        <f>AND(#REF!,"AAAAAH99/z0=")</f>
        <v>#REF!</v>
      </c>
      <c r="BK48" s="1" t="e">
        <f>AND(#REF!,"AAAAAH99/z4=")</f>
        <v>#REF!</v>
      </c>
      <c r="BL48" s="1" t="e">
        <f>AND(#REF!,"AAAAAH99/z8=")</f>
        <v>#REF!</v>
      </c>
      <c r="BM48" s="1" t="e">
        <f>AND(#REF!,"AAAAAH99/0A=")</f>
        <v>#REF!</v>
      </c>
      <c r="BN48" s="1" t="e">
        <f>AND(#REF!,"AAAAAH99/0E=")</f>
        <v>#REF!</v>
      </c>
      <c r="BO48" s="1" t="e">
        <f>AND(#REF!,"AAAAAH99/0I=")</f>
        <v>#REF!</v>
      </c>
      <c r="BP48" s="1" t="e">
        <f>AND(#REF!,"AAAAAH99/0M=")</f>
        <v>#REF!</v>
      </c>
      <c r="BQ48" s="1" t="e">
        <f>AND(#REF!,"AAAAAH99/0Q=")</f>
        <v>#REF!</v>
      </c>
      <c r="BR48" s="1" t="e">
        <f>AND(#REF!,"AAAAAH99/0U=")</f>
        <v>#REF!</v>
      </c>
      <c r="BS48" s="1" t="e">
        <f>AND(#REF!,"AAAAAH99/0Y=")</f>
        <v>#REF!</v>
      </c>
      <c r="BT48" s="1" t="e">
        <f>AND(#REF!,"AAAAAH99/0c=")</f>
        <v>#REF!</v>
      </c>
      <c r="BU48" s="1" t="e">
        <f>AND(#REF!,"AAAAAH99/0g=")</f>
        <v>#REF!</v>
      </c>
      <c r="BV48" s="1" t="e">
        <f>AND(#REF!,"AAAAAH99/0k=")</f>
        <v>#REF!</v>
      </c>
      <c r="BW48" s="1" t="e">
        <f>AND(#REF!,"AAAAAH99/0o=")</f>
        <v>#REF!</v>
      </c>
      <c r="BX48" s="1" t="e">
        <f>AND(#REF!,"AAAAAH99/0s=")</f>
        <v>#REF!</v>
      </c>
      <c r="BY48" s="1" t="e">
        <f>AND(#REF!,"AAAAAH99/0w=")</f>
        <v>#REF!</v>
      </c>
      <c r="BZ48" s="1" t="e">
        <f>AND(#REF!,"AAAAAH99/00=")</f>
        <v>#REF!</v>
      </c>
      <c r="CA48" s="1" t="e">
        <f>AND(#REF!,"AAAAAH99/04=")</f>
        <v>#REF!</v>
      </c>
      <c r="CB48" s="1" t="e">
        <f>AND(#REF!,"AAAAAH99/08=")</f>
        <v>#REF!</v>
      </c>
      <c r="CC48" s="1" t="e">
        <f>AND(#REF!,"AAAAAH99/1A=")</f>
        <v>#REF!</v>
      </c>
      <c r="CD48" s="1" t="e">
        <f>IF(#REF!,"AAAAAH99/1E=",0)</f>
        <v>#REF!</v>
      </c>
      <c r="CE48" s="1" t="e">
        <f>AND(#REF!,"AAAAAH99/1I=")</f>
        <v>#REF!</v>
      </c>
      <c r="CF48" s="1" t="e">
        <f>AND(#REF!,"AAAAAH99/1M=")</f>
        <v>#REF!</v>
      </c>
      <c r="CG48" s="1" t="e">
        <f>AND(#REF!,"AAAAAH99/1Q=")</f>
        <v>#REF!</v>
      </c>
      <c r="CH48" s="1" t="e">
        <f>AND(#REF!,"AAAAAH99/1U=")</f>
        <v>#REF!</v>
      </c>
      <c r="CI48" s="1" t="e">
        <f>AND(#REF!,"AAAAAH99/1Y=")</f>
        <v>#REF!</v>
      </c>
      <c r="CJ48" s="1" t="e">
        <f>AND(#REF!,"AAAAAH99/1c=")</f>
        <v>#REF!</v>
      </c>
      <c r="CK48" s="1" t="e">
        <f>AND(#REF!,"AAAAAH99/1g=")</f>
        <v>#REF!</v>
      </c>
      <c r="CL48" s="1" t="e">
        <f>AND(#REF!,"AAAAAH99/1k=")</f>
        <v>#REF!</v>
      </c>
      <c r="CM48" s="1" t="e">
        <f>AND(#REF!,"AAAAAH99/1o=")</f>
        <v>#REF!</v>
      </c>
      <c r="CN48" s="1" t="e">
        <f>AND(#REF!,"AAAAAH99/1s=")</f>
        <v>#REF!</v>
      </c>
      <c r="CO48" s="1" t="e">
        <f>AND(#REF!,"AAAAAH99/1w=")</f>
        <v>#REF!</v>
      </c>
      <c r="CP48" s="1" t="e">
        <f>AND(#REF!,"AAAAAH99/10=")</f>
        <v>#REF!</v>
      </c>
      <c r="CQ48" s="1" t="e">
        <f>AND(#REF!,"AAAAAH99/14=")</f>
        <v>#REF!</v>
      </c>
      <c r="CR48" s="1" t="e">
        <f>AND(#REF!,"AAAAAH99/18=")</f>
        <v>#REF!</v>
      </c>
      <c r="CS48" s="1" t="e">
        <f>AND(#REF!,"AAAAAH99/2A=")</f>
        <v>#REF!</v>
      </c>
      <c r="CT48" s="1" t="e">
        <f>AND(#REF!,"AAAAAH99/2E=")</f>
        <v>#REF!</v>
      </c>
      <c r="CU48" s="1" t="e">
        <f>AND(#REF!,"AAAAAH99/2I=")</f>
        <v>#REF!</v>
      </c>
      <c r="CV48" s="1" t="e">
        <f>AND(#REF!,"AAAAAH99/2M=")</f>
        <v>#REF!</v>
      </c>
      <c r="CW48" s="1" t="e">
        <f>AND(#REF!,"AAAAAH99/2Q=")</f>
        <v>#REF!</v>
      </c>
      <c r="CX48" s="1" t="e">
        <f>AND(#REF!,"AAAAAH99/2U=")</f>
        <v>#REF!</v>
      </c>
      <c r="CY48" s="1" t="e">
        <f>AND(#REF!,"AAAAAH99/2Y=")</f>
        <v>#REF!</v>
      </c>
      <c r="CZ48" s="1" t="e">
        <f>AND(#REF!,"AAAAAH99/2c=")</f>
        <v>#REF!</v>
      </c>
      <c r="DA48" s="1" t="e">
        <f>AND(#REF!,"AAAAAH99/2g=")</f>
        <v>#REF!</v>
      </c>
      <c r="DB48" s="1" t="e">
        <f>AND(#REF!,"AAAAAH99/2k=")</f>
        <v>#REF!</v>
      </c>
      <c r="DC48" s="1" t="e">
        <f>AND(#REF!,"AAAAAH99/2o=")</f>
        <v>#REF!</v>
      </c>
      <c r="DD48" s="1" t="e">
        <f>AND(#REF!,"AAAAAH99/2s=")</f>
        <v>#REF!</v>
      </c>
      <c r="DE48" s="1" t="e">
        <f>IF(#REF!,"AAAAAH99/2w=",0)</f>
        <v>#REF!</v>
      </c>
      <c r="DF48" s="1" t="e">
        <f>AND(#REF!,"AAAAAH99/20=")</f>
        <v>#REF!</v>
      </c>
      <c r="DG48" s="1" t="e">
        <f>AND(#REF!,"AAAAAH99/24=")</f>
        <v>#REF!</v>
      </c>
      <c r="DH48" s="1" t="e">
        <f>AND(#REF!,"AAAAAH99/28=")</f>
        <v>#REF!</v>
      </c>
      <c r="DI48" s="1" t="e">
        <f>AND(#REF!,"AAAAAH99/3A=")</f>
        <v>#REF!</v>
      </c>
      <c r="DJ48" s="1" t="e">
        <f>AND(#REF!,"AAAAAH99/3E=")</f>
        <v>#REF!</v>
      </c>
      <c r="DK48" s="1" t="e">
        <f>AND(#REF!,"AAAAAH99/3I=")</f>
        <v>#REF!</v>
      </c>
      <c r="DL48" s="1" t="e">
        <f>AND(#REF!,"AAAAAH99/3M=")</f>
        <v>#REF!</v>
      </c>
      <c r="DM48" s="1" t="e">
        <f>AND(#REF!,"AAAAAH99/3Q=")</f>
        <v>#REF!</v>
      </c>
      <c r="DN48" s="1" t="e">
        <f>AND(#REF!,"AAAAAH99/3U=")</f>
        <v>#REF!</v>
      </c>
      <c r="DO48" s="1" t="e">
        <f>AND(#REF!,"AAAAAH99/3Y=")</f>
        <v>#REF!</v>
      </c>
      <c r="DP48" s="1" t="e">
        <f>AND(#REF!,"AAAAAH99/3c=")</f>
        <v>#REF!</v>
      </c>
      <c r="DQ48" s="1" t="e">
        <f>AND(#REF!,"AAAAAH99/3g=")</f>
        <v>#REF!</v>
      </c>
      <c r="DR48" s="1" t="e">
        <f>AND(#REF!,"AAAAAH99/3k=")</f>
        <v>#REF!</v>
      </c>
      <c r="DS48" s="1" t="e">
        <f>AND(#REF!,"AAAAAH99/3o=")</f>
        <v>#REF!</v>
      </c>
      <c r="DT48" s="1" t="e">
        <f>AND(#REF!,"AAAAAH99/3s=")</f>
        <v>#REF!</v>
      </c>
      <c r="DU48" s="1" t="e">
        <f>AND(#REF!,"AAAAAH99/3w=")</f>
        <v>#REF!</v>
      </c>
      <c r="DV48" s="1" t="e">
        <f>AND(#REF!,"AAAAAH99/30=")</f>
        <v>#REF!</v>
      </c>
      <c r="DW48" s="1" t="e">
        <f>AND(#REF!,"AAAAAH99/34=")</f>
        <v>#REF!</v>
      </c>
      <c r="DX48" s="1" t="e">
        <f>AND(#REF!,"AAAAAH99/38=")</f>
        <v>#REF!</v>
      </c>
      <c r="DY48" s="1" t="e">
        <f>AND(#REF!,"AAAAAH99/4A=")</f>
        <v>#REF!</v>
      </c>
      <c r="DZ48" s="1" t="e">
        <f>AND(#REF!,"AAAAAH99/4E=")</f>
        <v>#REF!</v>
      </c>
      <c r="EA48" s="1" t="e">
        <f>AND(#REF!,"AAAAAH99/4I=")</f>
        <v>#REF!</v>
      </c>
      <c r="EB48" s="1" t="e">
        <f>AND(#REF!,"AAAAAH99/4M=")</f>
        <v>#REF!</v>
      </c>
      <c r="EC48" s="1" t="e">
        <f>AND(#REF!,"AAAAAH99/4Q=")</f>
        <v>#REF!</v>
      </c>
      <c r="ED48" s="1" t="e">
        <f>AND(#REF!,"AAAAAH99/4U=")</f>
        <v>#REF!</v>
      </c>
      <c r="EE48" s="1" t="e">
        <f>AND(#REF!,"AAAAAH99/4Y=")</f>
        <v>#REF!</v>
      </c>
      <c r="EF48" s="1" t="e">
        <f>IF(#REF!,"AAAAAH99/4c=",0)</f>
        <v>#REF!</v>
      </c>
      <c r="EG48" s="1" t="e">
        <f>AND(#REF!,"AAAAAH99/4g=")</f>
        <v>#REF!</v>
      </c>
      <c r="EH48" s="1" t="e">
        <f>AND(#REF!,"AAAAAH99/4k=")</f>
        <v>#REF!</v>
      </c>
      <c r="EI48" s="1" t="e">
        <f>AND(#REF!,"AAAAAH99/4o=")</f>
        <v>#REF!</v>
      </c>
      <c r="EJ48" s="1" t="e">
        <f>AND(#REF!,"AAAAAH99/4s=")</f>
        <v>#REF!</v>
      </c>
      <c r="EK48" s="1" t="e">
        <f>AND(#REF!,"AAAAAH99/4w=")</f>
        <v>#REF!</v>
      </c>
      <c r="EL48" s="1" t="e">
        <f>AND(#REF!,"AAAAAH99/40=")</f>
        <v>#REF!</v>
      </c>
      <c r="EM48" s="1" t="e">
        <f>AND(#REF!,"AAAAAH99/44=")</f>
        <v>#REF!</v>
      </c>
      <c r="EN48" s="1" t="e">
        <f>AND(#REF!,"AAAAAH99/48=")</f>
        <v>#REF!</v>
      </c>
      <c r="EO48" s="1" t="e">
        <f>AND(#REF!,"AAAAAH99/5A=")</f>
        <v>#REF!</v>
      </c>
      <c r="EP48" s="1" t="e">
        <f>AND(#REF!,"AAAAAH99/5E=")</f>
        <v>#REF!</v>
      </c>
      <c r="EQ48" s="1" t="e">
        <f>AND(#REF!,"AAAAAH99/5I=")</f>
        <v>#REF!</v>
      </c>
      <c r="ER48" s="1" t="e">
        <f>AND(#REF!,"AAAAAH99/5M=")</f>
        <v>#REF!</v>
      </c>
      <c r="ES48" s="1" t="e">
        <f>AND(#REF!,"AAAAAH99/5Q=")</f>
        <v>#REF!</v>
      </c>
      <c r="ET48" s="1" t="e">
        <f>AND(#REF!,"AAAAAH99/5U=")</f>
        <v>#REF!</v>
      </c>
      <c r="EU48" s="1" t="e">
        <f>AND(#REF!,"AAAAAH99/5Y=")</f>
        <v>#REF!</v>
      </c>
      <c r="EV48" s="1" t="e">
        <f>AND(#REF!,"AAAAAH99/5c=")</f>
        <v>#REF!</v>
      </c>
      <c r="EW48" s="1" t="e">
        <f>AND(#REF!,"AAAAAH99/5g=")</f>
        <v>#REF!</v>
      </c>
      <c r="EX48" s="1" t="e">
        <f>AND(#REF!,"AAAAAH99/5k=")</f>
        <v>#REF!</v>
      </c>
      <c r="EY48" s="1" t="e">
        <f>AND(#REF!,"AAAAAH99/5o=")</f>
        <v>#REF!</v>
      </c>
      <c r="EZ48" s="1" t="e">
        <f>AND(#REF!,"AAAAAH99/5s=")</f>
        <v>#REF!</v>
      </c>
      <c r="FA48" s="1" t="e">
        <f>AND(#REF!,"AAAAAH99/5w=")</f>
        <v>#REF!</v>
      </c>
      <c r="FB48" s="1" t="e">
        <f>AND(#REF!,"AAAAAH99/50=")</f>
        <v>#REF!</v>
      </c>
      <c r="FC48" s="1" t="e">
        <f>AND(#REF!,"AAAAAH99/54=")</f>
        <v>#REF!</v>
      </c>
      <c r="FD48" s="1" t="e">
        <f>AND(#REF!,"AAAAAH99/58=")</f>
        <v>#REF!</v>
      </c>
      <c r="FE48" s="1" t="e">
        <f>AND(#REF!,"AAAAAH99/6A=")</f>
        <v>#REF!</v>
      </c>
      <c r="FF48" s="1" t="e">
        <f>AND(#REF!,"AAAAAH99/6E=")</f>
        <v>#REF!</v>
      </c>
      <c r="FG48" s="1" t="e">
        <f>IF(#REF!,"AAAAAH99/6I=",0)</f>
        <v>#REF!</v>
      </c>
      <c r="FH48" s="1" t="e">
        <f>AND(#REF!,"AAAAAH99/6M=")</f>
        <v>#REF!</v>
      </c>
      <c r="FI48" s="1" t="e">
        <f>AND(#REF!,"AAAAAH99/6Q=")</f>
        <v>#REF!</v>
      </c>
      <c r="FJ48" s="1" t="e">
        <f>AND(#REF!,"AAAAAH99/6U=")</f>
        <v>#REF!</v>
      </c>
      <c r="FK48" s="1" t="e">
        <f>AND(#REF!,"AAAAAH99/6Y=")</f>
        <v>#REF!</v>
      </c>
      <c r="FL48" s="1" t="e">
        <f>AND(#REF!,"AAAAAH99/6c=")</f>
        <v>#REF!</v>
      </c>
      <c r="FM48" s="1" t="e">
        <f>AND(#REF!,"AAAAAH99/6g=")</f>
        <v>#REF!</v>
      </c>
      <c r="FN48" s="1" t="e">
        <f>AND(#REF!,"AAAAAH99/6k=")</f>
        <v>#REF!</v>
      </c>
      <c r="FO48" s="1" t="e">
        <f>AND(#REF!,"AAAAAH99/6o=")</f>
        <v>#REF!</v>
      </c>
      <c r="FP48" s="1" t="e">
        <f>AND(#REF!,"AAAAAH99/6s=")</f>
        <v>#REF!</v>
      </c>
      <c r="FQ48" s="1" t="e">
        <f>AND(#REF!,"AAAAAH99/6w=")</f>
        <v>#REF!</v>
      </c>
      <c r="FR48" s="1" t="e">
        <f>AND(#REF!,"AAAAAH99/60=")</f>
        <v>#REF!</v>
      </c>
      <c r="FS48" s="1" t="e">
        <f>AND(#REF!,"AAAAAH99/64=")</f>
        <v>#REF!</v>
      </c>
      <c r="FT48" s="1" t="e">
        <f>AND(#REF!,"AAAAAH99/68=")</f>
        <v>#REF!</v>
      </c>
      <c r="FU48" s="1" t="e">
        <f>AND(#REF!,"AAAAAH99/7A=")</f>
        <v>#REF!</v>
      </c>
      <c r="FV48" s="1" t="e">
        <f>AND(#REF!,"AAAAAH99/7E=")</f>
        <v>#REF!</v>
      </c>
      <c r="FW48" s="1" t="e">
        <f>AND(#REF!,"AAAAAH99/7I=")</f>
        <v>#REF!</v>
      </c>
      <c r="FX48" s="1" t="e">
        <f>AND(#REF!,"AAAAAH99/7M=")</f>
        <v>#REF!</v>
      </c>
      <c r="FY48" s="1" t="e">
        <f>AND(#REF!,"AAAAAH99/7Q=")</f>
        <v>#REF!</v>
      </c>
      <c r="FZ48" s="1" t="e">
        <f>AND(#REF!,"AAAAAH99/7U=")</f>
        <v>#REF!</v>
      </c>
      <c r="GA48" s="1" t="e">
        <f>AND(#REF!,"AAAAAH99/7Y=")</f>
        <v>#REF!</v>
      </c>
      <c r="GB48" s="1" t="e">
        <f>AND(#REF!,"AAAAAH99/7c=")</f>
        <v>#REF!</v>
      </c>
      <c r="GC48" s="1" t="e">
        <f>AND(#REF!,"AAAAAH99/7g=")</f>
        <v>#REF!</v>
      </c>
      <c r="GD48" s="1" t="e">
        <f>AND(#REF!,"AAAAAH99/7k=")</f>
        <v>#REF!</v>
      </c>
      <c r="GE48" s="1" t="e">
        <f>AND(#REF!,"AAAAAH99/7o=")</f>
        <v>#REF!</v>
      </c>
      <c r="GF48" s="1" t="e">
        <f>AND(#REF!,"AAAAAH99/7s=")</f>
        <v>#REF!</v>
      </c>
      <c r="GG48" s="1" t="e">
        <f>AND(#REF!,"AAAAAH99/7w=")</f>
        <v>#REF!</v>
      </c>
      <c r="GH48" s="1" t="e">
        <f>IF(#REF!,"AAAAAH99/70=",0)</f>
        <v>#REF!</v>
      </c>
      <c r="GI48" s="1" t="e">
        <f>AND(#REF!,"AAAAAH99/74=")</f>
        <v>#REF!</v>
      </c>
      <c r="GJ48" s="1" t="e">
        <f>AND(#REF!,"AAAAAH99/78=")</f>
        <v>#REF!</v>
      </c>
      <c r="GK48" s="1" t="e">
        <f>AND(#REF!,"AAAAAH99/8A=")</f>
        <v>#REF!</v>
      </c>
      <c r="GL48" s="1" t="e">
        <f>AND(#REF!,"AAAAAH99/8E=")</f>
        <v>#REF!</v>
      </c>
      <c r="GM48" s="1" t="e">
        <f>AND(#REF!,"AAAAAH99/8I=")</f>
        <v>#REF!</v>
      </c>
      <c r="GN48" s="1" t="e">
        <f>AND(#REF!,"AAAAAH99/8M=")</f>
        <v>#REF!</v>
      </c>
      <c r="GO48" s="1" t="e">
        <f>AND(#REF!,"AAAAAH99/8Q=")</f>
        <v>#REF!</v>
      </c>
      <c r="GP48" s="1" t="e">
        <f>AND(#REF!,"AAAAAH99/8U=")</f>
        <v>#REF!</v>
      </c>
      <c r="GQ48" s="1" t="e">
        <f>AND(#REF!,"AAAAAH99/8Y=")</f>
        <v>#REF!</v>
      </c>
      <c r="GR48" s="1" t="e">
        <f>AND(#REF!,"AAAAAH99/8c=")</f>
        <v>#REF!</v>
      </c>
      <c r="GS48" s="1" t="e">
        <f>AND(#REF!,"AAAAAH99/8g=")</f>
        <v>#REF!</v>
      </c>
      <c r="GT48" s="1" t="e">
        <f>AND(#REF!,"AAAAAH99/8k=")</f>
        <v>#REF!</v>
      </c>
      <c r="GU48" s="1" t="e">
        <f>AND(#REF!,"AAAAAH99/8o=")</f>
        <v>#REF!</v>
      </c>
      <c r="GV48" s="1" t="e">
        <f>AND(#REF!,"AAAAAH99/8s=")</f>
        <v>#REF!</v>
      </c>
      <c r="GW48" s="1" t="e">
        <f>AND(#REF!,"AAAAAH99/8w=")</f>
        <v>#REF!</v>
      </c>
      <c r="GX48" s="1" t="e">
        <f>AND(#REF!,"AAAAAH99/80=")</f>
        <v>#REF!</v>
      </c>
      <c r="GY48" s="1" t="e">
        <f>AND(#REF!,"AAAAAH99/84=")</f>
        <v>#REF!</v>
      </c>
      <c r="GZ48" s="1" t="e">
        <f>AND(#REF!,"AAAAAH99/88=")</f>
        <v>#REF!</v>
      </c>
      <c r="HA48" s="1" t="e">
        <f>AND(#REF!,"AAAAAH99/9A=")</f>
        <v>#REF!</v>
      </c>
      <c r="HB48" s="1" t="e">
        <f>AND(#REF!,"AAAAAH99/9E=")</f>
        <v>#REF!</v>
      </c>
      <c r="HC48" s="1" t="e">
        <f>AND(#REF!,"AAAAAH99/9I=")</f>
        <v>#REF!</v>
      </c>
      <c r="HD48" s="1" t="e">
        <f>AND(#REF!,"AAAAAH99/9M=")</f>
        <v>#REF!</v>
      </c>
      <c r="HE48" s="1" t="e">
        <f>AND(#REF!,"AAAAAH99/9Q=")</f>
        <v>#REF!</v>
      </c>
      <c r="HF48" s="1" t="e">
        <f>AND(#REF!,"AAAAAH99/9U=")</f>
        <v>#REF!</v>
      </c>
      <c r="HG48" s="1" t="e">
        <f>AND(#REF!,"AAAAAH99/9Y=")</f>
        <v>#REF!</v>
      </c>
      <c r="HH48" s="1" t="e">
        <f>AND(#REF!,"AAAAAH99/9c=")</f>
        <v>#REF!</v>
      </c>
      <c r="HI48" s="1" t="e">
        <f>IF(#REF!,"AAAAAH99/9g=",0)</f>
        <v>#REF!</v>
      </c>
      <c r="HJ48" s="1" t="e">
        <f>AND(#REF!,"AAAAAH99/9k=")</f>
        <v>#REF!</v>
      </c>
      <c r="HK48" s="1" t="e">
        <f>AND(#REF!,"AAAAAH99/9o=")</f>
        <v>#REF!</v>
      </c>
      <c r="HL48" s="1" t="e">
        <f>AND(#REF!,"AAAAAH99/9s=")</f>
        <v>#REF!</v>
      </c>
      <c r="HM48" s="1" t="e">
        <f>AND(#REF!,"AAAAAH99/9w=")</f>
        <v>#REF!</v>
      </c>
      <c r="HN48" s="1" t="e">
        <f>AND(#REF!,"AAAAAH99/90=")</f>
        <v>#REF!</v>
      </c>
      <c r="HO48" s="1" t="e">
        <f>AND(#REF!,"AAAAAH99/94=")</f>
        <v>#REF!</v>
      </c>
      <c r="HP48" s="1" t="e">
        <f>AND(#REF!,"AAAAAH99/98=")</f>
        <v>#REF!</v>
      </c>
      <c r="HQ48" s="1" t="e">
        <f>AND(#REF!,"AAAAAH99/+A=")</f>
        <v>#REF!</v>
      </c>
      <c r="HR48" s="1" t="e">
        <f>AND(#REF!,"AAAAAH99/+E=")</f>
        <v>#REF!</v>
      </c>
      <c r="HS48" s="1" t="e">
        <f>AND(#REF!,"AAAAAH99/+I=")</f>
        <v>#REF!</v>
      </c>
      <c r="HT48" s="1" t="e">
        <f>AND(#REF!,"AAAAAH99/+M=")</f>
        <v>#REF!</v>
      </c>
      <c r="HU48" s="1" t="e">
        <f>AND(#REF!,"AAAAAH99/+Q=")</f>
        <v>#REF!</v>
      </c>
      <c r="HV48" s="1" t="e">
        <f>AND(#REF!,"AAAAAH99/+U=")</f>
        <v>#REF!</v>
      </c>
      <c r="HW48" s="1" t="e">
        <f>AND(#REF!,"AAAAAH99/+Y=")</f>
        <v>#REF!</v>
      </c>
      <c r="HX48" s="1" t="e">
        <f>AND(#REF!,"AAAAAH99/+c=")</f>
        <v>#REF!</v>
      </c>
      <c r="HY48" s="1" t="e">
        <f>AND(#REF!,"AAAAAH99/+g=")</f>
        <v>#REF!</v>
      </c>
      <c r="HZ48" s="1" t="e">
        <f>AND(#REF!,"AAAAAH99/+k=")</f>
        <v>#REF!</v>
      </c>
      <c r="IA48" s="1" t="e">
        <f>AND(#REF!,"AAAAAH99/+o=")</f>
        <v>#REF!</v>
      </c>
      <c r="IB48" s="1" t="e">
        <f>AND(#REF!,"AAAAAH99/+s=")</f>
        <v>#REF!</v>
      </c>
      <c r="IC48" s="1" t="e">
        <f>AND(#REF!,"AAAAAH99/+w=")</f>
        <v>#REF!</v>
      </c>
      <c r="ID48" s="1" t="e">
        <f>AND(#REF!,"AAAAAH99/+0=")</f>
        <v>#REF!</v>
      </c>
      <c r="IE48" s="1" t="e">
        <f>AND(#REF!,"AAAAAH99/+4=")</f>
        <v>#REF!</v>
      </c>
      <c r="IF48" s="1" t="e">
        <f>AND(#REF!,"AAAAAH99/+8=")</f>
        <v>#REF!</v>
      </c>
      <c r="IG48" s="1" t="e">
        <f>AND(#REF!,"AAAAAH99//A=")</f>
        <v>#REF!</v>
      </c>
      <c r="IH48" s="1" t="e">
        <f>AND(#REF!,"AAAAAH99//E=")</f>
        <v>#REF!</v>
      </c>
      <c r="II48" s="1" t="e">
        <f>AND(#REF!,"AAAAAH99//I=")</f>
        <v>#REF!</v>
      </c>
      <c r="IJ48" s="1" t="e">
        <f>IF(#REF!,"AAAAAH99//M=",0)</f>
        <v>#REF!</v>
      </c>
      <c r="IK48" s="1" t="e">
        <f>AND(#REF!,"AAAAAH99//Q=")</f>
        <v>#REF!</v>
      </c>
      <c r="IL48" s="1" t="e">
        <f>AND(#REF!,"AAAAAH99//U=")</f>
        <v>#REF!</v>
      </c>
      <c r="IM48" s="1" t="e">
        <f>AND(#REF!,"AAAAAH99//Y=")</f>
        <v>#REF!</v>
      </c>
      <c r="IN48" s="1" t="e">
        <f>AND(#REF!,"AAAAAH99//c=")</f>
        <v>#REF!</v>
      </c>
      <c r="IO48" s="1" t="e">
        <f>AND(#REF!,"AAAAAH99//g=")</f>
        <v>#REF!</v>
      </c>
      <c r="IP48" s="1" t="e">
        <f>AND(#REF!,"AAAAAH99//k=")</f>
        <v>#REF!</v>
      </c>
      <c r="IQ48" s="1" t="e">
        <f>AND(#REF!,"AAAAAH99//o=")</f>
        <v>#REF!</v>
      </c>
      <c r="IR48" s="1" t="e">
        <f>AND(#REF!,"AAAAAH99//s=")</f>
        <v>#REF!</v>
      </c>
      <c r="IS48" s="1" t="e">
        <f>AND(#REF!,"AAAAAH99//w=")</f>
        <v>#REF!</v>
      </c>
      <c r="IT48" s="1" t="e">
        <f>AND(#REF!,"AAAAAH99//0=")</f>
        <v>#REF!</v>
      </c>
      <c r="IU48" s="1" t="e">
        <f>AND(#REF!,"AAAAAH99//4=")</f>
        <v>#REF!</v>
      </c>
      <c r="IV48" s="1" t="e">
        <f>AND(#REF!,"AAAAAH99//8=")</f>
        <v>#REF!</v>
      </c>
    </row>
    <row r="49" spans="1:256" ht="15" customHeight="1" x14ac:dyDescent="0.2">
      <c r="A49" s="1" t="e">
        <f>AND(#REF!,"AAAAAD8XXwA=")</f>
        <v>#REF!</v>
      </c>
      <c r="B49" s="1" t="e">
        <f>AND(#REF!,"AAAAAD8XXwE=")</f>
        <v>#REF!</v>
      </c>
      <c r="C49" s="1" t="e">
        <f>AND(#REF!,"AAAAAD8XXwI=")</f>
        <v>#REF!</v>
      </c>
      <c r="D49" s="1" t="e">
        <f>AND(#REF!,"AAAAAD8XXwM=")</f>
        <v>#REF!</v>
      </c>
      <c r="E49" s="1" t="e">
        <f>AND(#REF!,"AAAAAD8XXwQ=")</f>
        <v>#REF!</v>
      </c>
      <c r="F49" s="1" t="e">
        <f>AND(#REF!,"AAAAAD8XXwU=")</f>
        <v>#REF!</v>
      </c>
      <c r="G49" s="1" t="e">
        <f>AND(#REF!,"AAAAAD8XXwY=")</f>
        <v>#REF!</v>
      </c>
      <c r="H49" s="1" t="e">
        <f>AND(#REF!,"AAAAAD8XXwc=")</f>
        <v>#REF!</v>
      </c>
      <c r="I49" s="1" t="e">
        <f>AND(#REF!,"AAAAAD8XXwg=")</f>
        <v>#REF!</v>
      </c>
      <c r="J49" s="1" t="e">
        <f>AND(#REF!,"AAAAAD8XXwk=")</f>
        <v>#REF!</v>
      </c>
      <c r="K49" s="1" t="e">
        <f>AND(#REF!,"AAAAAD8XXwo=")</f>
        <v>#REF!</v>
      </c>
      <c r="L49" s="1" t="e">
        <f>AND(#REF!,"AAAAAD8XXws=")</f>
        <v>#REF!</v>
      </c>
      <c r="M49" s="1" t="e">
        <f>AND(#REF!,"AAAAAD8XXww=")</f>
        <v>#REF!</v>
      </c>
      <c r="N49" s="1" t="e">
        <f>AND(#REF!,"AAAAAD8XXw0=")</f>
        <v>#REF!</v>
      </c>
      <c r="O49" s="1" t="e">
        <f>IF(#REF!,"AAAAAD8XXw4=",0)</f>
        <v>#REF!</v>
      </c>
      <c r="P49" s="1" t="e">
        <f>AND(#REF!,"AAAAAD8XXw8=")</f>
        <v>#REF!</v>
      </c>
      <c r="Q49" s="1" t="e">
        <f>AND(#REF!,"AAAAAD8XXxA=")</f>
        <v>#REF!</v>
      </c>
      <c r="R49" s="1" t="e">
        <f>AND(#REF!,"AAAAAD8XXxE=")</f>
        <v>#REF!</v>
      </c>
      <c r="S49" s="1" t="e">
        <f>AND(#REF!,"AAAAAD8XXxI=")</f>
        <v>#REF!</v>
      </c>
      <c r="T49" s="1" t="e">
        <f>AND(#REF!,"AAAAAD8XXxM=")</f>
        <v>#REF!</v>
      </c>
      <c r="U49" s="1" t="e">
        <f>AND(#REF!,"AAAAAD8XXxQ=")</f>
        <v>#REF!</v>
      </c>
      <c r="V49" s="1" t="e">
        <f>AND(#REF!,"AAAAAD8XXxU=")</f>
        <v>#REF!</v>
      </c>
      <c r="W49" s="1" t="e">
        <f>AND(#REF!,"AAAAAD8XXxY=")</f>
        <v>#REF!</v>
      </c>
      <c r="X49" s="1" t="e">
        <f>AND(#REF!,"AAAAAD8XXxc=")</f>
        <v>#REF!</v>
      </c>
      <c r="Y49" s="1" t="e">
        <f>AND(#REF!,"AAAAAD8XXxg=")</f>
        <v>#REF!</v>
      </c>
      <c r="Z49" s="1" t="e">
        <f>AND(#REF!,"AAAAAD8XXxk=")</f>
        <v>#REF!</v>
      </c>
      <c r="AA49" s="1" t="e">
        <f>AND(#REF!,"AAAAAD8XXxo=")</f>
        <v>#REF!</v>
      </c>
      <c r="AB49" s="1" t="e">
        <f>AND(#REF!,"AAAAAD8XXxs=")</f>
        <v>#REF!</v>
      </c>
      <c r="AC49" s="1" t="e">
        <f>AND(#REF!,"AAAAAD8XXxw=")</f>
        <v>#REF!</v>
      </c>
      <c r="AD49" s="1" t="e">
        <f>AND(#REF!,"AAAAAD8XXx0=")</f>
        <v>#REF!</v>
      </c>
      <c r="AE49" s="1" t="e">
        <f>AND(#REF!,"AAAAAD8XXx4=")</f>
        <v>#REF!</v>
      </c>
      <c r="AF49" s="1" t="e">
        <f>AND(#REF!,"AAAAAD8XXx8=")</f>
        <v>#REF!</v>
      </c>
      <c r="AG49" s="1" t="e">
        <f>AND(#REF!,"AAAAAD8XXyA=")</f>
        <v>#REF!</v>
      </c>
      <c r="AH49" s="1" t="e">
        <f>AND(#REF!,"AAAAAD8XXyE=")</f>
        <v>#REF!</v>
      </c>
      <c r="AI49" s="1" t="e">
        <f>AND(#REF!,"AAAAAD8XXyI=")</f>
        <v>#REF!</v>
      </c>
      <c r="AJ49" s="1" t="e">
        <f>AND(#REF!,"AAAAAD8XXyM=")</f>
        <v>#REF!</v>
      </c>
      <c r="AK49" s="1" t="e">
        <f>AND(#REF!,"AAAAAD8XXyQ=")</f>
        <v>#REF!</v>
      </c>
      <c r="AL49" s="1" t="e">
        <f>AND(#REF!,"AAAAAD8XXyU=")</f>
        <v>#REF!</v>
      </c>
      <c r="AM49" s="1" t="e">
        <f>AND(#REF!,"AAAAAD8XXyY=")</f>
        <v>#REF!</v>
      </c>
      <c r="AN49" s="1" t="e">
        <f>AND(#REF!,"AAAAAD8XXyc=")</f>
        <v>#REF!</v>
      </c>
      <c r="AO49" s="1" t="e">
        <f>AND(#REF!,"AAAAAD8XXyg=")</f>
        <v>#REF!</v>
      </c>
      <c r="AP49" s="1" t="e">
        <f>IF(#REF!,"AAAAAD8XXyk=",0)</f>
        <v>#REF!</v>
      </c>
      <c r="AQ49" s="1" t="e">
        <f>AND(#REF!,"AAAAAD8XXyo=")</f>
        <v>#REF!</v>
      </c>
      <c r="AR49" s="1" t="e">
        <f>AND(#REF!,"AAAAAD8XXys=")</f>
        <v>#REF!</v>
      </c>
      <c r="AS49" s="1" t="e">
        <f>AND(#REF!,"AAAAAD8XXyw=")</f>
        <v>#REF!</v>
      </c>
      <c r="AT49" s="1" t="e">
        <f>AND(#REF!,"AAAAAD8XXy0=")</f>
        <v>#REF!</v>
      </c>
      <c r="AU49" s="1" t="e">
        <f>AND(#REF!,"AAAAAD8XXy4=")</f>
        <v>#REF!</v>
      </c>
      <c r="AV49" s="1" t="e">
        <f>AND(#REF!,"AAAAAD8XXy8=")</f>
        <v>#REF!</v>
      </c>
      <c r="AW49" s="1" t="e">
        <f>AND(#REF!,"AAAAAD8XXzA=")</f>
        <v>#REF!</v>
      </c>
      <c r="AX49" s="1" t="e">
        <f>AND(#REF!,"AAAAAD8XXzE=")</f>
        <v>#REF!</v>
      </c>
      <c r="AY49" s="1" t="e">
        <f>AND(#REF!,"AAAAAD8XXzI=")</f>
        <v>#REF!</v>
      </c>
      <c r="AZ49" s="1" t="e">
        <f>AND(#REF!,"AAAAAD8XXzM=")</f>
        <v>#REF!</v>
      </c>
      <c r="BA49" s="1" t="e">
        <f>AND(#REF!,"AAAAAD8XXzQ=")</f>
        <v>#REF!</v>
      </c>
      <c r="BB49" s="1" t="e">
        <f>AND(#REF!,"AAAAAD8XXzU=")</f>
        <v>#REF!</v>
      </c>
      <c r="BC49" s="1" t="e">
        <f>AND(#REF!,"AAAAAD8XXzY=")</f>
        <v>#REF!</v>
      </c>
      <c r="BD49" s="1" t="e">
        <f>AND(#REF!,"AAAAAD8XXzc=")</f>
        <v>#REF!</v>
      </c>
      <c r="BE49" s="1" t="e">
        <f>AND(#REF!,"AAAAAD8XXzg=")</f>
        <v>#REF!</v>
      </c>
      <c r="BF49" s="1" t="e">
        <f>AND(#REF!,"AAAAAD8XXzk=")</f>
        <v>#REF!</v>
      </c>
      <c r="BG49" s="1" t="e">
        <f>AND(#REF!,"AAAAAD8XXzo=")</f>
        <v>#REF!</v>
      </c>
      <c r="BH49" s="1" t="e">
        <f>AND(#REF!,"AAAAAD8XXzs=")</f>
        <v>#REF!</v>
      </c>
      <c r="BI49" s="1" t="e">
        <f>AND(#REF!,"AAAAAD8XXzw=")</f>
        <v>#REF!</v>
      </c>
      <c r="BJ49" s="1" t="e">
        <f>AND(#REF!,"AAAAAD8XXz0=")</f>
        <v>#REF!</v>
      </c>
      <c r="BK49" s="1" t="e">
        <f>AND(#REF!,"AAAAAD8XXz4=")</f>
        <v>#REF!</v>
      </c>
      <c r="BL49" s="1" t="e">
        <f>AND(#REF!,"AAAAAD8XXz8=")</f>
        <v>#REF!</v>
      </c>
      <c r="BM49" s="1" t="e">
        <f>AND(#REF!,"AAAAAD8XX0A=")</f>
        <v>#REF!</v>
      </c>
      <c r="BN49" s="1" t="e">
        <f>AND(#REF!,"AAAAAD8XX0E=")</f>
        <v>#REF!</v>
      </c>
      <c r="BO49" s="1" t="e">
        <f>AND(#REF!,"AAAAAD8XX0I=")</f>
        <v>#REF!</v>
      </c>
      <c r="BP49" s="1" t="e">
        <f>AND(#REF!,"AAAAAD8XX0M=")</f>
        <v>#REF!</v>
      </c>
      <c r="BQ49" s="1" t="e">
        <f>IF(#REF!,"AAAAAD8XX0Q=",0)</f>
        <v>#REF!</v>
      </c>
      <c r="BR49" s="1" t="e">
        <f>AND(#REF!,"AAAAAD8XX0U=")</f>
        <v>#REF!</v>
      </c>
      <c r="BS49" s="1" t="e">
        <f>AND(#REF!,"AAAAAD8XX0Y=")</f>
        <v>#REF!</v>
      </c>
      <c r="BT49" s="1" t="e">
        <f>AND(#REF!,"AAAAAD8XX0c=")</f>
        <v>#REF!</v>
      </c>
      <c r="BU49" s="1" t="e">
        <f>AND(#REF!,"AAAAAD8XX0g=")</f>
        <v>#REF!</v>
      </c>
      <c r="BV49" s="1" t="e">
        <f>AND(#REF!,"AAAAAD8XX0k=")</f>
        <v>#REF!</v>
      </c>
      <c r="BW49" s="1" t="e">
        <f>AND(#REF!,"AAAAAD8XX0o=")</f>
        <v>#REF!</v>
      </c>
      <c r="BX49" s="1" t="e">
        <f>AND(#REF!,"AAAAAD8XX0s=")</f>
        <v>#REF!</v>
      </c>
      <c r="BY49" s="1" t="e">
        <f>AND(#REF!,"AAAAAD8XX0w=")</f>
        <v>#REF!</v>
      </c>
      <c r="BZ49" s="1" t="e">
        <f>AND(#REF!,"AAAAAD8XX00=")</f>
        <v>#REF!</v>
      </c>
      <c r="CA49" s="1" t="e">
        <f>AND(#REF!,"AAAAAD8XX04=")</f>
        <v>#REF!</v>
      </c>
      <c r="CB49" s="1" t="e">
        <f>AND(#REF!,"AAAAAD8XX08=")</f>
        <v>#REF!</v>
      </c>
      <c r="CC49" s="1" t="e">
        <f>AND(#REF!,"AAAAAD8XX1A=")</f>
        <v>#REF!</v>
      </c>
      <c r="CD49" s="1" t="e">
        <f>AND(#REF!,"AAAAAD8XX1E=")</f>
        <v>#REF!</v>
      </c>
      <c r="CE49" s="1" t="e">
        <f>AND(#REF!,"AAAAAD8XX1I=")</f>
        <v>#REF!</v>
      </c>
      <c r="CF49" s="1" t="e">
        <f>AND(#REF!,"AAAAAD8XX1M=")</f>
        <v>#REF!</v>
      </c>
      <c r="CG49" s="1" t="e">
        <f>AND(#REF!,"AAAAAD8XX1Q=")</f>
        <v>#REF!</v>
      </c>
      <c r="CH49" s="1" t="e">
        <f>AND(#REF!,"AAAAAD8XX1U=")</f>
        <v>#REF!</v>
      </c>
      <c r="CI49" s="1" t="e">
        <f>AND(#REF!,"AAAAAD8XX1Y=")</f>
        <v>#REF!</v>
      </c>
      <c r="CJ49" s="1" t="e">
        <f>AND(#REF!,"AAAAAD8XX1c=")</f>
        <v>#REF!</v>
      </c>
      <c r="CK49" s="1" t="e">
        <f>AND(#REF!,"AAAAAD8XX1g=")</f>
        <v>#REF!</v>
      </c>
      <c r="CL49" s="1" t="e">
        <f>AND(#REF!,"AAAAAD8XX1k=")</f>
        <v>#REF!</v>
      </c>
      <c r="CM49" s="1" t="e">
        <f>AND(#REF!,"AAAAAD8XX1o=")</f>
        <v>#REF!</v>
      </c>
      <c r="CN49" s="1" t="e">
        <f>AND(#REF!,"AAAAAD8XX1s=")</f>
        <v>#REF!</v>
      </c>
      <c r="CO49" s="1" t="e">
        <f>AND(#REF!,"AAAAAD8XX1w=")</f>
        <v>#REF!</v>
      </c>
      <c r="CP49" s="1" t="e">
        <f>AND(#REF!,"AAAAAD8XX10=")</f>
        <v>#REF!</v>
      </c>
      <c r="CQ49" s="1" t="e">
        <f>AND(#REF!,"AAAAAD8XX14=")</f>
        <v>#REF!</v>
      </c>
      <c r="CR49" s="1" t="e">
        <f>IF(#REF!,"AAAAAD8XX18=",0)</f>
        <v>#REF!</v>
      </c>
      <c r="CS49" s="1" t="e">
        <f>AND(#REF!,"AAAAAD8XX2A=")</f>
        <v>#REF!</v>
      </c>
      <c r="CT49" s="1" t="e">
        <f>AND(#REF!,"AAAAAD8XX2E=")</f>
        <v>#REF!</v>
      </c>
      <c r="CU49" s="1" t="e">
        <f>AND(#REF!,"AAAAAD8XX2I=")</f>
        <v>#REF!</v>
      </c>
      <c r="CV49" s="1" t="e">
        <f>AND(#REF!,"AAAAAD8XX2M=")</f>
        <v>#REF!</v>
      </c>
      <c r="CW49" s="1" t="e">
        <f>AND(#REF!,"AAAAAD8XX2Q=")</f>
        <v>#REF!</v>
      </c>
      <c r="CX49" s="1" t="e">
        <f>AND(#REF!,"AAAAAD8XX2U=")</f>
        <v>#REF!</v>
      </c>
      <c r="CY49" s="1" t="e">
        <f>AND(#REF!,"AAAAAD8XX2Y=")</f>
        <v>#REF!</v>
      </c>
      <c r="CZ49" s="1" t="e">
        <f>AND(#REF!,"AAAAAD8XX2c=")</f>
        <v>#REF!</v>
      </c>
      <c r="DA49" s="1" t="e">
        <f>AND(#REF!,"AAAAAD8XX2g=")</f>
        <v>#REF!</v>
      </c>
      <c r="DB49" s="1" t="e">
        <f>AND(#REF!,"AAAAAD8XX2k=")</f>
        <v>#REF!</v>
      </c>
      <c r="DC49" s="1" t="e">
        <f>AND(#REF!,"AAAAAD8XX2o=")</f>
        <v>#REF!</v>
      </c>
      <c r="DD49" s="1" t="e">
        <f>AND(#REF!,"AAAAAD8XX2s=")</f>
        <v>#REF!</v>
      </c>
      <c r="DE49" s="1" t="e">
        <f>AND(#REF!,"AAAAAD8XX2w=")</f>
        <v>#REF!</v>
      </c>
      <c r="DF49" s="1" t="e">
        <f>AND(#REF!,"AAAAAD8XX20=")</f>
        <v>#REF!</v>
      </c>
      <c r="DG49" s="1" t="e">
        <f>AND(#REF!,"AAAAAD8XX24=")</f>
        <v>#REF!</v>
      </c>
      <c r="DH49" s="1" t="e">
        <f>AND(#REF!,"AAAAAD8XX28=")</f>
        <v>#REF!</v>
      </c>
      <c r="DI49" s="1" t="e">
        <f>AND(#REF!,"AAAAAD8XX3A=")</f>
        <v>#REF!</v>
      </c>
      <c r="DJ49" s="1" t="e">
        <f>AND(#REF!,"AAAAAD8XX3E=")</f>
        <v>#REF!</v>
      </c>
      <c r="DK49" s="1" t="e">
        <f>AND(#REF!,"AAAAAD8XX3I=")</f>
        <v>#REF!</v>
      </c>
      <c r="DL49" s="1" t="e">
        <f>AND(#REF!,"AAAAAD8XX3M=")</f>
        <v>#REF!</v>
      </c>
      <c r="DM49" s="1" t="e">
        <f>AND(#REF!,"AAAAAD8XX3Q=")</f>
        <v>#REF!</v>
      </c>
      <c r="DN49" s="1" t="e">
        <f>AND(#REF!,"AAAAAD8XX3U=")</f>
        <v>#REF!</v>
      </c>
      <c r="DO49" s="1" t="e">
        <f>AND(#REF!,"AAAAAD8XX3Y=")</f>
        <v>#REF!</v>
      </c>
      <c r="DP49" s="1" t="e">
        <f>AND(#REF!,"AAAAAD8XX3c=")</f>
        <v>#REF!</v>
      </c>
      <c r="DQ49" s="1" t="e">
        <f>AND(#REF!,"AAAAAD8XX3g=")</f>
        <v>#REF!</v>
      </c>
      <c r="DR49" s="1" t="e">
        <f>AND(#REF!,"AAAAAD8XX3k=")</f>
        <v>#REF!</v>
      </c>
      <c r="DS49" s="1" t="e">
        <f>IF(#REF!,"AAAAAD8XX3o=",0)</f>
        <v>#REF!</v>
      </c>
      <c r="DT49" s="1" t="e">
        <f>AND(#REF!,"AAAAAD8XX3s=")</f>
        <v>#REF!</v>
      </c>
      <c r="DU49" s="1" t="e">
        <f>AND(#REF!,"AAAAAD8XX3w=")</f>
        <v>#REF!</v>
      </c>
      <c r="DV49" s="1" t="e">
        <f>AND(#REF!,"AAAAAD8XX30=")</f>
        <v>#REF!</v>
      </c>
      <c r="DW49" s="1" t="e">
        <f>AND(#REF!,"AAAAAD8XX34=")</f>
        <v>#REF!</v>
      </c>
      <c r="DX49" s="1" t="e">
        <f>AND(#REF!,"AAAAAD8XX38=")</f>
        <v>#REF!</v>
      </c>
      <c r="DY49" s="1" t="e">
        <f>AND(#REF!,"AAAAAD8XX4A=")</f>
        <v>#REF!</v>
      </c>
      <c r="DZ49" s="1" t="e">
        <f>AND(#REF!,"AAAAAD8XX4E=")</f>
        <v>#REF!</v>
      </c>
      <c r="EA49" s="1" t="e">
        <f>AND(#REF!,"AAAAAD8XX4I=")</f>
        <v>#REF!</v>
      </c>
      <c r="EB49" s="1" t="e">
        <f>AND(#REF!,"AAAAAD8XX4M=")</f>
        <v>#REF!</v>
      </c>
      <c r="EC49" s="1" t="e">
        <f>AND(#REF!,"AAAAAD8XX4Q=")</f>
        <v>#REF!</v>
      </c>
      <c r="ED49" s="1" t="e">
        <f>AND(#REF!,"AAAAAD8XX4U=")</f>
        <v>#REF!</v>
      </c>
      <c r="EE49" s="1" t="e">
        <f>AND(#REF!,"AAAAAD8XX4Y=")</f>
        <v>#REF!</v>
      </c>
      <c r="EF49" s="1" t="e">
        <f>AND(#REF!,"AAAAAD8XX4c=")</f>
        <v>#REF!</v>
      </c>
      <c r="EG49" s="1" t="e">
        <f>AND(#REF!,"AAAAAD8XX4g=")</f>
        <v>#REF!</v>
      </c>
      <c r="EH49" s="1" t="e">
        <f>AND(#REF!,"AAAAAD8XX4k=")</f>
        <v>#REF!</v>
      </c>
      <c r="EI49" s="1" t="e">
        <f>AND(#REF!,"AAAAAD8XX4o=")</f>
        <v>#REF!</v>
      </c>
      <c r="EJ49" s="1" t="e">
        <f>AND(#REF!,"AAAAAD8XX4s=")</f>
        <v>#REF!</v>
      </c>
      <c r="EK49" s="1" t="e">
        <f>AND(#REF!,"AAAAAD8XX4w=")</f>
        <v>#REF!</v>
      </c>
      <c r="EL49" s="1" t="e">
        <f>AND(#REF!,"AAAAAD8XX40=")</f>
        <v>#REF!</v>
      </c>
      <c r="EM49" s="1" t="e">
        <f>AND(#REF!,"AAAAAD8XX44=")</f>
        <v>#REF!</v>
      </c>
      <c r="EN49" s="1" t="e">
        <f>AND(#REF!,"AAAAAD8XX48=")</f>
        <v>#REF!</v>
      </c>
      <c r="EO49" s="1" t="e">
        <f>AND(#REF!,"AAAAAD8XX5A=")</f>
        <v>#REF!</v>
      </c>
      <c r="EP49" s="1" t="e">
        <f>AND(#REF!,"AAAAAD8XX5E=")</f>
        <v>#REF!</v>
      </c>
      <c r="EQ49" s="1" t="e">
        <f>AND(#REF!,"AAAAAD8XX5I=")</f>
        <v>#REF!</v>
      </c>
      <c r="ER49" s="1" t="e">
        <f>AND(#REF!,"AAAAAD8XX5M=")</f>
        <v>#REF!</v>
      </c>
      <c r="ES49" s="1" t="e">
        <f>AND(#REF!,"AAAAAD8XX5Q=")</f>
        <v>#REF!</v>
      </c>
      <c r="ET49" s="1" t="e">
        <f>IF(#REF!,"AAAAAD8XX5U=",0)</f>
        <v>#REF!</v>
      </c>
      <c r="EU49" s="1" t="e">
        <f>AND(#REF!,"AAAAAD8XX5Y=")</f>
        <v>#REF!</v>
      </c>
      <c r="EV49" s="1" t="e">
        <f>AND(#REF!,"AAAAAD8XX5c=")</f>
        <v>#REF!</v>
      </c>
      <c r="EW49" s="1" t="e">
        <f>AND(#REF!,"AAAAAD8XX5g=")</f>
        <v>#REF!</v>
      </c>
      <c r="EX49" s="1" t="e">
        <f>AND(#REF!,"AAAAAD8XX5k=")</f>
        <v>#REF!</v>
      </c>
      <c r="EY49" s="1" t="e">
        <f>AND(#REF!,"AAAAAD8XX5o=")</f>
        <v>#REF!</v>
      </c>
      <c r="EZ49" s="1" t="e">
        <f>AND(#REF!,"AAAAAD8XX5s=")</f>
        <v>#REF!</v>
      </c>
      <c r="FA49" s="1" t="e">
        <f>AND(#REF!,"AAAAAD8XX5w=")</f>
        <v>#REF!</v>
      </c>
      <c r="FB49" s="1" t="e">
        <f>AND(#REF!,"AAAAAD8XX50=")</f>
        <v>#REF!</v>
      </c>
      <c r="FC49" s="1" t="e">
        <f>AND(#REF!,"AAAAAD8XX54=")</f>
        <v>#REF!</v>
      </c>
      <c r="FD49" s="1" t="e">
        <f>AND(#REF!,"AAAAAD8XX58=")</f>
        <v>#REF!</v>
      </c>
      <c r="FE49" s="1" t="e">
        <f>AND(#REF!,"AAAAAD8XX6A=")</f>
        <v>#REF!</v>
      </c>
      <c r="FF49" s="1" t="e">
        <f>AND(#REF!,"AAAAAD8XX6E=")</f>
        <v>#REF!</v>
      </c>
      <c r="FG49" s="1" t="e">
        <f>AND(#REF!,"AAAAAD8XX6I=")</f>
        <v>#REF!</v>
      </c>
      <c r="FH49" s="1" t="e">
        <f>AND(#REF!,"AAAAAD8XX6M=")</f>
        <v>#REF!</v>
      </c>
      <c r="FI49" s="1" t="e">
        <f>AND(#REF!,"AAAAAD8XX6Q=")</f>
        <v>#REF!</v>
      </c>
      <c r="FJ49" s="1" t="e">
        <f>AND(#REF!,"AAAAAD8XX6U=")</f>
        <v>#REF!</v>
      </c>
      <c r="FK49" s="1" t="e">
        <f>AND(#REF!,"AAAAAD8XX6Y=")</f>
        <v>#REF!</v>
      </c>
      <c r="FL49" s="1" t="e">
        <f>AND(#REF!,"AAAAAD8XX6c=")</f>
        <v>#REF!</v>
      </c>
      <c r="FM49" s="1" t="e">
        <f>AND(#REF!,"AAAAAD8XX6g=")</f>
        <v>#REF!</v>
      </c>
      <c r="FN49" s="1" t="e">
        <f>AND(#REF!,"AAAAAD8XX6k=")</f>
        <v>#REF!</v>
      </c>
      <c r="FO49" s="1" t="e">
        <f>AND(#REF!,"AAAAAD8XX6o=")</f>
        <v>#REF!</v>
      </c>
      <c r="FP49" s="1" t="e">
        <f>AND(#REF!,"AAAAAD8XX6s=")</f>
        <v>#REF!</v>
      </c>
      <c r="FQ49" s="1" t="e">
        <f>AND(#REF!,"AAAAAD8XX6w=")</f>
        <v>#REF!</v>
      </c>
      <c r="FR49" s="1" t="e">
        <f>AND(#REF!,"AAAAAD8XX60=")</f>
        <v>#REF!</v>
      </c>
      <c r="FS49" s="1" t="e">
        <f>AND(#REF!,"AAAAAD8XX64=")</f>
        <v>#REF!</v>
      </c>
      <c r="FT49" s="1" t="e">
        <f>AND(#REF!,"AAAAAD8XX68=")</f>
        <v>#REF!</v>
      </c>
      <c r="FU49" s="1" t="e">
        <f>IF(#REF!,"AAAAAD8XX7A=",0)</f>
        <v>#REF!</v>
      </c>
      <c r="FV49" s="1" t="e">
        <f>AND(#REF!,"AAAAAD8XX7E=")</f>
        <v>#REF!</v>
      </c>
      <c r="FW49" s="1" t="e">
        <f>AND(#REF!,"AAAAAD8XX7I=")</f>
        <v>#REF!</v>
      </c>
      <c r="FX49" s="1" t="e">
        <f>AND(#REF!,"AAAAAD8XX7M=")</f>
        <v>#REF!</v>
      </c>
      <c r="FY49" s="1" t="e">
        <f>AND(#REF!,"AAAAAD8XX7Q=")</f>
        <v>#REF!</v>
      </c>
      <c r="FZ49" s="1" t="e">
        <f>AND(#REF!,"AAAAAD8XX7U=")</f>
        <v>#REF!</v>
      </c>
      <c r="GA49" s="1" t="e">
        <f>AND(#REF!,"AAAAAD8XX7Y=")</f>
        <v>#REF!</v>
      </c>
      <c r="GB49" s="1" t="e">
        <f>AND(#REF!,"AAAAAD8XX7c=")</f>
        <v>#REF!</v>
      </c>
      <c r="GC49" s="1" t="e">
        <f>AND(#REF!,"AAAAAD8XX7g=")</f>
        <v>#REF!</v>
      </c>
      <c r="GD49" s="1" t="e">
        <f>AND(#REF!,"AAAAAD8XX7k=")</f>
        <v>#REF!</v>
      </c>
      <c r="GE49" s="1" t="e">
        <f>AND(#REF!,"AAAAAD8XX7o=")</f>
        <v>#REF!</v>
      </c>
      <c r="GF49" s="1" t="e">
        <f>AND(#REF!,"AAAAAD8XX7s=")</f>
        <v>#REF!</v>
      </c>
      <c r="GG49" s="1" t="e">
        <f>AND(#REF!,"AAAAAD8XX7w=")</f>
        <v>#REF!</v>
      </c>
      <c r="GH49" s="1" t="e">
        <f>AND(#REF!,"AAAAAD8XX70=")</f>
        <v>#REF!</v>
      </c>
      <c r="GI49" s="1" t="e">
        <f>AND(#REF!,"AAAAAD8XX74=")</f>
        <v>#REF!</v>
      </c>
      <c r="GJ49" s="1" t="e">
        <f>AND(#REF!,"AAAAAD8XX78=")</f>
        <v>#REF!</v>
      </c>
      <c r="GK49" s="1" t="e">
        <f>AND(#REF!,"AAAAAD8XX8A=")</f>
        <v>#REF!</v>
      </c>
      <c r="GL49" s="1" t="e">
        <f>AND(#REF!,"AAAAAD8XX8E=")</f>
        <v>#REF!</v>
      </c>
      <c r="GM49" s="1" t="e">
        <f>AND(#REF!,"AAAAAD8XX8I=")</f>
        <v>#REF!</v>
      </c>
      <c r="GN49" s="1" t="e">
        <f>AND(#REF!,"AAAAAD8XX8M=")</f>
        <v>#REF!</v>
      </c>
      <c r="GO49" s="1" t="e">
        <f>AND(#REF!,"AAAAAD8XX8Q=")</f>
        <v>#REF!</v>
      </c>
      <c r="GP49" s="1" t="e">
        <f>AND(#REF!,"AAAAAD8XX8U=")</f>
        <v>#REF!</v>
      </c>
      <c r="GQ49" s="1" t="e">
        <f>AND(#REF!,"AAAAAD8XX8Y=")</f>
        <v>#REF!</v>
      </c>
      <c r="GR49" s="1" t="e">
        <f>AND(#REF!,"AAAAAD8XX8c=")</f>
        <v>#REF!</v>
      </c>
      <c r="GS49" s="1" t="e">
        <f>AND(#REF!,"AAAAAD8XX8g=")</f>
        <v>#REF!</v>
      </c>
      <c r="GT49" s="1" t="e">
        <f>AND(#REF!,"AAAAAD8XX8k=")</f>
        <v>#REF!</v>
      </c>
      <c r="GU49" s="1" t="e">
        <f>AND(#REF!,"AAAAAD8XX8o=")</f>
        <v>#REF!</v>
      </c>
      <c r="GV49" s="1" t="e">
        <f>IF(#REF!,"AAAAAD8XX8s=",0)</f>
        <v>#REF!</v>
      </c>
      <c r="GW49" s="1" t="e">
        <f>AND(#REF!,"AAAAAD8XX8w=")</f>
        <v>#REF!</v>
      </c>
      <c r="GX49" s="1" t="e">
        <f>AND(#REF!,"AAAAAD8XX80=")</f>
        <v>#REF!</v>
      </c>
      <c r="GY49" s="1" t="e">
        <f>AND(#REF!,"AAAAAD8XX84=")</f>
        <v>#REF!</v>
      </c>
      <c r="GZ49" s="1" t="e">
        <f>AND(#REF!,"AAAAAD8XX88=")</f>
        <v>#REF!</v>
      </c>
      <c r="HA49" s="1" t="e">
        <f>AND(#REF!,"AAAAAD8XX9A=")</f>
        <v>#REF!</v>
      </c>
      <c r="HB49" s="1" t="e">
        <f>AND(#REF!,"AAAAAD8XX9E=")</f>
        <v>#REF!</v>
      </c>
      <c r="HC49" s="1" t="e">
        <f>AND(#REF!,"AAAAAD8XX9I=")</f>
        <v>#REF!</v>
      </c>
      <c r="HD49" s="1" t="e">
        <f>AND(#REF!,"AAAAAD8XX9M=")</f>
        <v>#REF!</v>
      </c>
      <c r="HE49" s="1" t="e">
        <f>AND(#REF!,"AAAAAD8XX9Q=")</f>
        <v>#REF!</v>
      </c>
      <c r="HF49" s="1" t="e">
        <f>AND(#REF!,"AAAAAD8XX9U=")</f>
        <v>#REF!</v>
      </c>
      <c r="HG49" s="1" t="e">
        <f>AND(#REF!,"AAAAAD8XX9Y=")</f>
        <v>#REF!</v>
      </c>
      <c r="HH49" s="1" t="e">
        <f>AND(#REF!,"AAAAAD8XX9c=")</f>
        <v>#REF!</v>
      </c>
      <c r="HI49" s="1" t="e">
        <f>AND(#REF!,"AAAAAD8XX9g=")</f>
        <v>#REF!</v>
      </c>
      <c r="HJ49" s="1" t="e">
        <f>AND(#REF!,"AAAAAD8XX9k=")</f>
        <v>#REF!</v>
      </c>
      <c r="HK49" s="1" t="e">
        <f>AND(#REF!,"AAAAAD8XX9o=")</f>
        <v>#REF!</v>
      </c>
      <c r="HL49" s="1" t="e">
        <f>AND(#REF!,"AAAAAD8XX9s=")</f>
        <v>#REF!</v>
      </c>
      <c r="HM49" s="1" t="e">
        <f>AND(#REF!,"AAAAAD8XX9w=")</f>
        <v>#REF!</v>
      </c>
      <c r="HN49" s="1" t="e">
        <f>AND(#REF!,"AAAAAD8XX90=")</f>
        <v>#REF!</v>
      </c>
      <c r="HO49" s="1" t="e">
        <f>AND(#REF!,"AAAAAD8XX94=")</f>
        <v>#REF!</v>
      </c>
      <c r="HP49" s="1" t="e">
        <f>AND(#REF!,"AAAAAD8XX98=")</f>
        <v>#REF!</v>
      </c>
      <c r="HQ49" s="1" t="e">
        <f>AND(#REF!,"AAAAAD8XX+A=")</f>
        <v>#REF!</v>
      </c>
      <c r="HR49" s="1" t="e">
        <f>AND(#REF!,"AAAAAD8XX+E=")</f>
        <v>#REF!</v>
      </c>
      <c r="HS49" s="1" t="e">
        <f>AND(#REF!,"AAAAAD8XX+I=")</f>
        <v>#REF!</v>
      </c>
      <c r="HT49" s="1" t="e">
        <f>AND(#REF!,"AAAAAD8XX+M=")</f>
        <v>#REF!</v>
      </c>
      <c r="HU49" s="1" t="e">
        <f>AND(#REF!,"AAAAAD8XX+Q=")</f>
        <v>#REF!</v>
      </c>
      <c r="HV49" s="1" t="e">
        <f>AND(#REF!,"AAAAAD8XX+U=")</f>
        <v>#REF!</v>
      </c>
      <c r="HW49" s="1" t="e">
        <f>IF(#REF!,"AAAAAD8XX+Y=",0)</f>
        <v>#REF!</v>
      </c>
      <c r="HX49" s="1" t="e">
        <f>AND(#REF!,"AAAAAD8XX+c=")</f>
        <v>#REF!</v>
      </c>
      <c r="HY49" s="1" t="e">
        <f>AND(#REF!,"AAAAAD8XX+g=")</f>
        <v>#REF!</v>
      </c>
      <c r="HZ49" s="1" t="e">
        <f>AND(#REF!,"AAAAAD8XX+k=")</f>
        <v>#REF!</v>
      </c>
      <c r="IA49" s="1" t="e">
        <f>AND(#REF!,"AAAAAD8XX+o=")</f>
        <v>#REF!</v>
      </c>
      <c r="IB49" s="1" t="e">
        <f>AND(#REF!,"AAAAAD8XX+s=")</f>
        <v>#REF!</v>
      </c>
      <c r="IC49" s="1" t="e">
        <f>AND(#REF!,"AAAAAD8XX+w=")</f>
        <v>#REF!</v>
      </c>
      <c r="ID49" s="1" t="e">
        <f>AND(#REF!,"AAAAAD8XX+0=")</f>
        <v>#REF!</v>
      </c>
      <c r="IE49" s="1" t="e">
        <f>AND(#REF!,"AAAAAD8XX+4=")</f>
        <v>#REF!</v>
      </c>
      <c r="IF49" s="1" t="e">
        <f>AND(#REF!,"AAAAAD8XX+8=")</f>
        <v>#REF!</v>
      </c>
      <c r="IG49" s="1" t="e">
        <f>AND(#REF!,"AAAAAD8XX/A=")</f>
        <v>#REF!</v>
      </c>
      <c r="IH49" s="1" t="e">
        <f>AND(#REF!,"AAAAAD8XX/E=")</f>
        <v>#REF!</v>
      </c>
      <c r="II49" s="1" t="e">
        <f>AND(#REF!,"AAAAAD8XX/I=")</f>
        <v>#REF!</v>
      </c>
      <c r="IJ49" s="1" t="e">
        <f>AND(#REF!,"AAAAAD8XX/M=")</f>
        <v>#REF!</v>
      </c>
      <c r="IK49" s="1" t="e">
        <f>AND(#REF!,"AAAAAD8XX/Q=")</f>
        <v>#REF!</v>
      </c>
      <c r="IL49" s="1" t="e">
        <f>AND(#REF!,"AAAAAD8XX/U=")</f>
        <v>#REF!</v>
      </c>
      <c r="IM49" s="1" t="e">
        <f>AND(#REF!,"AAAAAD8XX/Y=")</f>
        <v>#REF!</v>
      </c>
      <c r="IN49" s="1" t="e">
        <f>AND(#REF!,"AAAAAD8XX/c=")</f>
        <v>#REF!</v>
      </c>
      <c r="IO49" s="1" t="e">
        <f>AND(#REF!,"AAAAAD8XX/g=")</f>
        <v>#REF!</v>
      </c>
      <c r="IP49" s="1" t="e">
        <f>AND(#REF!,"AAAAAD8XX/k=")</f>
        <v>#REF!</v>
      </c>
      <c r="IQ49" s="1" t="e">
        <f>AND(#REF!,"AAAAAD8XX/o=")</f>
        <v>#REF!</v>
      </c>
      <c r="IR49" s="1" t="e">
        <f>AND(#REF!,"AAAAAD8XX/s=")</f>
        <v>#REF!</v>
      </c>
      <c r="IS49" s="1" t="e">
        <f>AND(#REF!,"AAAAAD8XX/w=")</f>
        <v>#REF!</v>
      </c>
      <c r="IT49" s="1" t="e">
        <f>AND(#REF!,"AAAAAD8XX/0=")</f>
        <v>#REF!</v>
      </c>
      <c r="IU49" s="1" t="e">
        <f>AND(#REF!,"AAAAAD8XX/4=")</f>
        <v>#REF!</v>
      </c>
      <c r="IV49" s="1" t="e">
        <f>AND(#REF!,"AAAAAD8XX/8=")</f>
        <v>#REF!</v>
      </c>
    </row>
    <row r="50" spans="1:256" ht="15" customHeight="1" x14ac:dyDescent="0.2">
      <c r="A50" s="1" t="e">
        <f>AND(#REF!,"AAAAAE0/sQA=")</f>
        <v>#REF!</v>
      </c>
      <c r="B50" s="1" t="e">
        <f>IF(#REF!,"AAAAAE0/sQE=",0)</f>
        <v>#REF!</v>
      </c>
      <c r="C50" s="1" t="e">
        <f>AND(#REF!,"AAAAAE0/sQI=")</f>
        <v>#REF!</v>
      </c>
      <c r="D50" s="1" t="e">
        <f>AND(#REF!,"AAAAAE0/sQM=")</f>
        <v>#REF!</v>
      </c>
      <c r="E50" s="1" t="e">
        <f>AND(#REF!,"AAAAAE0/sQQ=")</f>
        <v>#REF!</v>
      </c>
      <c r="F50" s="1" t="e">
        <f>AND(#REF!,"AAAAAE0/sQU=")</f>
        <v>#REF!</v>
      </c>
      <c r="G50" s="1" t="e">
        <f>AND(#REF!,"AAAAAE0/sQY=")</f>
        <v>#REF!</v>
      </c>
      <c r="H50" s="1" t="e">
        <f>AND(#REF!,"AAAAAE0/sQc=")</f>
        <v>#REF!</v>
      </c>
      <c r="I50" s="1" t="e">
        <f>AND(#REF!,"AAAAAE0/sQg=")</f>
        <v>#REF!</v>
      </c>
      <c r="J50" s="1" t="e">
        <f>AND(#REF!,"AAAAAE0/sQk=")</f>
        <v>#REF!</v>
      </c>
      <c r="K50" s="1" t="e">
        <f>AND(#REF!,"AAAAAE0/sQo=")</f>
        <v>#REF!</v>
      </c>
      <c r="L50" s="1" t="e">
        <f>AND(#REF!,"AAAAAE0/sQs=")</f>
        <v>#REF!</v>
      </c>
      <c r="M50" s="1" t="e">
        <f>AND(#REF!,"AAAAAE0/sQw=")</f>
        <v>#REF!</v>
      </c>
      <c r="N50" s="1" t="e">
        <f>AND(#REF!,"AAAAAE0/sQ0=")</f>
        <v>#REF!</v>
      </c>
      <c r="O50" s="1" t="e">
        <f>AND(#REF!,"AAAAAE0/sQ4=")</f>
        <v>#REF!</v>
      </c>
      <c r="P50" s="1" t="e">
        <f>AND(#REF!,"AAAAAE0/sQ8=")</f>
        <v>#REF!</v>
      </c>
      <c r="Q50" s="1" t="e">
        <f>AND(#REF!,"AAAAAE0/sRA=")</f>
        <v>#REF!</v>
      </c>
      <c r="R50" s="1" t="e">
        <f>AND(#REF!,"AAAAAE0/sRE=")</f>
        <v>#REF!</v>
      </c>
      <c r="S50" s="1" t="e">
        <f>AND(#REF!,"AAAAAE0/sRI=")</f>
        <v>#REF!</v>
      </c>
      <c r="T50" s="1" t="e">
        <f>AND(#REF!,"AAAAAE0/sRM=")</f>
        <v>#REF!</v>
      </c>
      <c r="U50" s="1" t="e">
        <f>AND(#REF!,"AAAAAE0/sRQ=")</f>
        <v>#REF!</v>
      </c>
      <c r="V50" s="1" t="e">
        <f>AND(#REF!,"AAAAAE0/sRU=")</f>
        <v>#REF!</v>
      </c>
      <c r="W50" s="1" t="e">
        <f>AND(#REF!,"AAAAAE0/sRY=")</f>
        <v>#REF!</v>
      </c>
      <c r="X50" s="1" t="e">
        <f>AND(#REF!,"AAAAAE0/sRc=")</f>
        <v>#REF!</v>
      </c>
      <c r="Y50" s="1" t="e">
        <f>AND(#REF!,"AAAAAE0/sRg=")</f>
        <v>#REF!</v>
      </c>
      <c r="Z50" s="1" t="e">
        <f>AND(#REF!,"AAAAAE0/sRk=")</f>
        <v>#REF!</v>
      </c>
      <c r="AA50" s="1" t="e">
        <f>AND(#REF!,"AAAAAE0/sRo=")</f>
        <v>#REF!</v>
      </c>
      <c r="AB50" s="1" t="e">
        <f>AND(#REF!,"AAAAAE0/sRs=")</f>
        <v>#REF!</v>
      </c>
      <c r="AC50" s="1" t="e">
        <f>IF(#REF!,"AAAAAE0/sRw=",0)</f>
        <v>#REF!</v>
      </c>
      <c r="AD50" s="1" t="e">
        <f>AND(#REF!,"AAAAAE0/sR0=")</f>
        <v>#REF!</v>
      </c>
      <c r="AE50" s="1" t="e">
        <f>AND(#REF!,"AAAAAE0/sR4=")</f>
        <v>#REF!</v>
      </c>
      <c r="AF50" s="1" t="e">
        <f>AND(#REF!,"AAAAAE0/sR8=")</f>
        <v>#REF!</v>
      </c>
      <c r="AG50" s="1" t="e">
        <f>AND(#REF!,"AAAAAE0/sSA=")</f>
        <v>#REF!</v>
      </c>
      <c r="AH50" s="1" t="e">
        <f>AND(#REF!,"AAAAAE0/sSE=")</f>
        <v>#REF!</v>
      </c>
      <c r="AI50" s="1" t="e">
        <f>AND(#REF!,"AAAAAE0/sSI=")</f>
        <v>#REF!</v>
      </c>
      <c r="AJ50" s="1" t="e">
        <f>AND(#REF!,"AAAAAE0/sSM=")</f>
        <v>#REF!</v>
      </c>
      <c r="AK50" s="1" t="e">
        <f>AND(#REF!,"AAAAAE0/sSQ=")</f>
        <v>#REF!</v>
      </c>
      <c r="AL50" s="1" t="e">
        <f>AND(#REF!,"AAAAAE0/sSU=")</f>
        <v>#REF!</v>
      </c>
      <c r="AM50" s="1" t="e">
        <f>AND(#REF!,"AAAAAE0/sSY=")</f>
        <v>#REF!</v>
      </c>
      <c r="AN50" s="1" t="e">
        <f>AND(#REF!,"AAAAAE0/sSc=")</f>
        <v>#REF!</v>
      </c>
      <c r="AO50" s="1" t="e">
        <f>AND(#REF!,"AAAAAE0/sSg=")</f>
        <v>#REF!</v>
      </c>
      <c r="AP50" s="1" t="e">
        <f>AND(#REF!,"AAAAAE0/sSk=")</f>
        <v>#REF!</v>
      </c>
      <c r="AQ50" s="1" t="e">
        <f>AND(#REF!,"AAAAAE0/sSo=")</f>
        <v>#REF!</v>
      </c>
      <c r="AR50" s="1" t="e">
        <f>AND(#REF!,"AAAAAE0/sSs=")</f>
        <v>#REF!</v>
      </c>
      <c r="AS50" s="1" t="e">
        <f>AND(#REF!,"AAAAAE0/sSw=")</f>
        <v>#REF!</v>
      </c>
      <c r="AT50" s="1" t="e">
        <f>AND(#REF!,"AAAAAE0/sS0=")</f>
        <v>#REF!</v>
      </c>
      <c r="AU50" s="1" t="e">
        <f>AND(#REF!,"AAAAAE0/sS4=")</f>
        <v>#REF!</v>
      </c>
      <c r="AV50" s="1" t="e">
        <f>AND(#REF!,"AAAAAE0/sS8=")</f>
        <v>#REF!</v>
      </c>
      <c r="AW50" s="1" t="e">
        <f>AND(#REF!,"AAAAAE0/sTA=")</f>
        <v>#REF!</v>
      </c>
      <c r="AX50" s="1" t="e">
        <f>AND(#REF!,"AAAAAE0/sTE=")</f>
        <v>#REF!</v>
      </c>
      <c r="AY50" s="1" t="e">
        <f>AND(#REF!,"AAAAAE0/sTI=")</f>
        <v>#REF!</v>
      </c>
      <c r="AZ50" s="1" t="e">
        <f>AND(#REF!,"AAAAAE0/sTM=")</f>
        <v>#REF!</v>
      </c>
      <c r="BA50" s="1" t="e">
        <f>AND(#REF!,"AAAAAE0/sTQ=")</f>
        <v>#REF!</v>
      </c>
      <c r="BB50" s="1" t="e">
        <f>AND(#REF!,"AAAAAE0/sTU=")</f>
        <v>#REF!</v>
      </c>
      <c r="BC50" s="1" t="e">
        <f>AND(#REF!,"AAAAAE0/sTY=")</f>
        <v>#REF!</v>
      </c>
      <c r="BD50" s="1" t="e">
        <f>IF(#REF!,"AAAAAE0/sTc=",0)</f>
        <v>#REF!</v>
      </c>
      <c r="BE50" s="1" t="e">
        <f>AND(#REF!,"AAAAAE0/sTg=")</f>
        <v>#REF!</v>
      </c>
      <c r="BF50" s="1" t="e">
        <f>AND(#REF!,"AAAAAE0/sTk=")</f>
        <v>#REF!</v>
      </c>
      <c r="BG50" s="1" t="e">
        <f>AND(#REF!,"AAAAAE0/sTo=")</f>
        <v>#REF!</v>
      </c>
      <c r="BH50" s="1" t="e">
        <f>AND(#REF!,"AAAAAE0/sTs=")</f>
        <v>#REF!</v>
      </c>
      <c r="BI50" s="1" t="e">
        <f>AND(#REF!,"AAAAAE0/sTw=")</f>
        <v>#REF!</v>
      </c>
      <c r="BJ50" s="1" t="e">
        <f>AND(#REF!,"AAAAAE0/sT0=")</f>
        <v>#REF!</v>
      </c>
      <c r="BK50" s="1" t="e">
        <f>AND(#REF!,"AAAAAE0/sT4=")</f>
        <v>#REF!</v>
      </c>
      <c r="BL50" s="1" t="e">
        <f>AND(#REF!,"AAAAAE0/sT8=")</f>
        <v>#REF!</v>
      </c>
      <c r="BM50" s="1" t="e">
        <f>AND(#REF!,"AAAAAE0/sUA=")</f>
        <v>#REF!</v>
      </c>
      <c r="BN50" s="1" t="e">
        <f>AND(#REF!,"AAAAAE0/sUE=")</f>
        <v>#REF!</v>
      </c>
      <c r="BO50" s="1" t="e">
        <f>AND(#REF!,"AAAAAE0/sUI=")</f>
        <v>#REF!</v>
      </c>
      <c r="BP50" s="1" t="e">
        <f>AND(#REF!,"AAAAAE0/sUM=")</f>
        <v>#REF!</v>
      </c>
      <c r="BQ50" s="1" t="e">
        <f>AND(#REF!,"AAAAAE0/sUQ=")</f>
        <v>#REF!</v>
      </c>
      <c r="BR50" s="1" t="e">
        <f>AND(#REF!,"AAAAAE0/sUU=")</f>
        <v>#REF!</v>
      </c>
      <c r="BS50" s="1" t="e">
        <f>AND(#REF!,"AAAAAE0/sUY=")</f>
        <v>#REF!</v>
      </c>
      <c r="BT50" s="1" t="e">
        <f>AND(#REF!,"AAAAAE0/sUc=")</f>
        <v>#REF!</v>
      </c>
      <c r="BU50" s="1" t="e">
        <f>AND(#REF!,"AAAAAE0/sUg=")</f>
        <v>#REF!</v>
      </c>
      <c r="BV50" s="1" t="e">
        <f>AND(#REF!,"AAAAAE0/sUk=")</f>
        <v>#REF!</v>
      </c>
      <c r="BW50" s="1" t="e">
        <f>AND(#REF!,"AAAAAE0/sUo=")</f>
        <v>#REF!</v>
      </c>
      <c r="BX50" s="1" t="e">
        <f>AND(#REF!,"AAAAAE0/sUs=")</f>
        <v>#REF!</v>
      </c>
      <c r="BY50" s="1" t="e">
        <f>AND(#REF!,"AAAAAE0/sUw=")</f>
        <v>#REF!</v>
      </c>
      <c r="BZ50" s="1" t="e">
        <f>AND(#REF!,"AAAAAE0/sU0=")</f>
        <v>#REF!</v>
      </c>
      <c r="CA50" s="1" t="e">
        <f>AND(#REF!,"AAAAAE0/sU4=")</f>
        <v>#REF!</v>
      </c>
      <c r="CB50" s="1" t="e">
        <f>AND(#REF!,"AAAAAE0/sU8=")</f>
        <v>#REF!</v>
      </c>
      <c r="CC50" s="1" t="e">
        <f>AND(#REF!,"AAAAAE0/sVA=")</f>
        <v>#REF!</v>
      </c>
      <c r="CD50" s="1" t="e">
        <f>AND(#REF!,"AAAAAE0/sVE=")</f>
        <v>#REF!</v>
      </c>
      <c r="CE50" s="1" t="e">
        <f>IF(#REF!,"AAAAAE0/sVI=",0)</f>
        <v>#REF!</v>
      </c>
      <c r="CF50" s="1" t="e">
        <f>AND(#REF!,"AAAAAE0/sVM=")</f>
        <v>#REF!</v>
      </c>
      <c r="CG50" s="1" t="e">
        <f>AND(#REF!,"AAAAAE0/sVQ=")</f>
        <v>#REF!</v>
      </c>
      <c r="CH50" s="1" t="e">
        <f>AND(#REF!,"AAAAAE0/sVU=")</f>
        <v>#REF!</v>
      </c>
      <c r="CI50" s="1" t="e">
        <f>AND(#REF!,"AAAAAE0/sVY=")</f>
        <v>#REF!</v>
      </c>
      <c r="CJ50" s="1" t="e">
        <f>AND(#REF!,"AAAAAE0/sVc=")</f>
        <v>#REF!</v>
      </c>
      <c r="CK50" s="1" t="e">
        <f>AND(#REF!,"AAAAAE0/sVg=")</f>
        <v>#REF!</v>
      </c>
      <c r="CL50" s="1" t="e">
        <f>AND(#REF!,"AAAAAE0/sVk=")</f>
        <v>#REF!</v>
      </c>
      <c r="CM50" s="1" t="e">
        <f>AND(#REF!,"AAAAAE0/sVo=")</f>
        <v>#REF!</v>
      </c>
      <c r="CN50" s="1" t="e">
        <f>AND(#REF!,"AAAAAE0/sVs=")</f>
        <v>#REF!</v>
      </c>
      <c r="CO50" s="1" t="e">
        <f>AND(#REF!,"AAAAAE0/sVw=")</f>
        <v>#REF!</v>
      </c>
      <c r="CP50" s="1" t="e">
        <f>AND(#REF!,"AAAAAE0/sV0=")</f>
        <v>#REF!</v>
      </c>
      <c r="CQ50" s="1" t="e">
        <f>AND(#REF!,"AAAAAE0/sV4=")</f>
        <v>#REF!</v>
      </c>
      <c r="CR50" s="1" t="e">
        <f>AND(#REF!,"AAAAAE0/sV8=")</f>
        <v>#REF!</v>
      </c>
      <c r="CS50" s="1" t="e">
        <f>AND(#REF!,"AAAAAE0/sWA=")</f>
        <v>#REF!</v>
      </c>
      <c r="CT50" s="1" t="e">
        <f>AND(#REF!,"AAAAAE0/sWE=")</f>
        <v>#REF!</v>
      </c>
      <c r="CU50" s="1" t="e">
        <f>AND(#REF!,"AAAAAE0/sWI=")</f>
        <v>#REF!</v>
      </c>
      <c r="CV50" s="1" t="e">
        <f>AND(#REF!,"AAAAAE0/sWM=")</f>
        <v>#REF!</v>
      </c>
      <c r="CW50" s="1" t="e">
        <f>AND(#REF!,"AAAAAE0/sWQ=")</f>
        <v>#REF!</v>
      </c>
      <c r="CX50" s="1" t="e">
        <f>AND(#REF!,"AAAAAE0/sWU=")</f>
        <v>#REF!</v>
      </c>
      <c r="CY50" s="1" t="e">
        <f>AND(#REF!,"AAAAAE0/sWY=")</f>
        <v>#REF!</v>
      </c>
      <c r="CZ50" s="1" t="e">
        <f>AND(#REF!,"AAAAAE0/sWc=")</f>
        <v>#REF!</v>
      </c>
      <c r="DA50" s="1" t="e">
        <f>AND(#REF!,"AAAAAE0/sWg=")</f>
        <v>#REF!</v>
      </c>
      <c r="DB50" s="1" t="e">
        <f>AND(#REF!,"AAAAAE0/sWk=")</f>
        <v>#REF!</v>
      </c>
      <c r="DC50" s="1" t="e">
        <f>AND(#REF!,"AAAAAE0/sWo=")</f>
        <v>#REF!</v>
      </c>
      <c r="DD50" s="1" t="e">
        <f>AND(#REF!,"AAAAAE0/sWs=")</f>
        <v>#REF!</v>
      </c>
      <c r="DE50" s="1" t="e">
        <f>AND(#REF!,"AAAAAE0/sWw=")</f>
        <v>#REF!</v>
      </c>
      <c r="DF50" s="1" t="e">
        <f>IF(#REF!,"AAAAAE0/sW0=",0)</f>
        <v>#REF!</v>
      </c>
      <c r="DG50" s="1" t="e">
        <f>AND(#REF!,"AAAAAE0/sW4=")</f>
        <v>#REF!</v>
      </c>
      <c r="DH50" s="1" t="e">
        <f>AND(#REF!,"AAAAAE0/sW8=")</f>
        <v>#REF!</v>
      </c>
      <c r="DI50" s="1" t="e">
        <f>AND(#REF!,"AAAAAE0/sXA=")</f>
        <v>#REF!</v>
      </c>
      <c r="DJ50" s="1" t="e">
        <f>AND(#REF!,"AAAAAE0/sXE=")</f>
        <v>#REF!</v>
      </c>
      <c r="DK50" s="1" t="e">
        <f>AND(#REF!,"AAAAAE0/sXI=")</f>
        <v>#REF!</v>
      </c>
      <c r="DL50" s="1" t="e">
        <f>AND(#REF!,"AAAAAE0/sXM=")</f>
        <v>#REF!</v>
      </c>
      <c r="DM50" s="1" t="e">
        <f>AND(#REF!,"AAAAAE0/sXQ=")</f>
        <v>#REF!</v>
      </c>
      <c r="DN50" s="1" t="e">
        <f>AND(#REF!,"AAAAAE0/sXU=")</f>
        <v>#REF!</v>
      </c>
      <c r="DO50" s="1" t="e">
        <f>AND(#REF!,"AAAAAE0/sXY=")</f>
        <v>#REF!</v>
      </c>
      <c r="DP50" s="1" t="e">
        <f>AND(#REF!,"AAAAAE0/sXc=")</f>
        <v>#REF!</v>
      </c>
      <c r="DQ50" s="1" t="e">
        <f>AND(#REF!,"AAAAAE0/sXg=")</f>
        <v>#REF!</v>
      </c>
      <c r="DR50" s="1" t="e">
        <f>AND(#REF!,"AAAAAE0/sXk=")</f>
        <v>#REF!</v>
      </c>
      <c r="DS50" s="1" t="e">
        <f>AND(#REF!,"AAAAAE0/sXo=")</f>
        <v>#REF!</v>
      </c>
      <c r="DT50" s="1" t="e">
        <f>AND(#REF!,"AAAAAE0/sXs=")</f>
        <v>#REF!</v>
      </c>
      <c r="DU50" s="1" t="e">
        <f>AND(#REF!,"AAAAAE0/sXw=")</f>
        <v>#REF!</v>
      </c>
      <c r="DV50" s="1" t="e">
        <f>AND(#REF!,"AAAAAE0/sX0=")</f>
        <v>#REF!</v>
      </c>
      <c r="DW50" s="1" t="e">
        <f>AND(#REF!,"AAAAAE0/sX4=")</f>
        <v>#REF!</v>
      </c>
      <c r="DX50" s="1" t="e">
        <f>AND(#REF!,"AAAAAE0/sX8=")</f>
        <v>#REF!</v>
      </c>
      <c r="DY50" s="1" t="e">
        <f>AND(#REF!,"AAAAAE0/sYA=")</f>
        <v>#REF!</v>
      </c>
      <c r="DZ50" s="1" t="e">
        <f>AND(#REF!,"AAAAAE0/sYE=")</f>
        <v>#REF!</v>
      </c>
      <c r="EA50" s="1" t="e">
        <f>AND(#REF!,"AAAAAE0/sYI=")</f>
        <v>#REF!</v>
      </c>
      <c r="EB50" s="1" t="e">
        <f>AND(#REF!,"AAAAAE0/sYM=")</f>
        <v>#REF!</v>
      </c>
      <c r="EC50" s="1" t="e">
        <f>AND(#REF!,"AAAAAE0/sYQ=")</f>
        <v>#REF!</v>
      </c>
      <c r="ED50" s="1" t="e">
        <f>AND(#REF!,"AAAAAE0/sYU=")</f>
        <v>#REF!</v>
      </c>
      <c r="EE50" s="1" t="e">
        <f>AND(#REF!,"AAAAAE0/sYY=")</f>
        <v>#REF!</v>
      </c>
      <c r="EF50" s="1" t="e">
        <f>AND(#REF!,"AAAAAE0/sYc=")</f>
        <v>#REF!</v>
      </c>
      <c r="EG50" s="1" t="e">
        <f>IF(#REF!,"AAAAAE0/sYg=",0)</f>
        <v>#REF!</v>
      </c>
      <c r="EH50" s="1" t="e">
        <f>AND(#REF!,"AAAAAE0/sYk=")</f>
        <v>#REF!</v>
      </c>
      <c r="EI50" s="1" t="e">
        <f>AND(#REF!,"AAAAAE0/sYo=")</f>
        <v>#REF!</v>
      </c>
      <c r="EJ50" s="1" t="e">
        <f>AND(#REF!,"AAAAAE0/sYs=")</f>
        <v>#REF!</v>
      </c>
      <c r="EK50" s="1" t="e">
        <f>AND(#REF!,"AAAAAE0/sYw=")</f>
        <v>#REF!</v>
      </c>
      <c r="EL50" s="1" t="e">
        <f>AND(#REF!,"AAAAAE0/sY0=")</f>
        <v>#REF!</v>
      </c>
      <c r="EM50" s="1" t="e">
        <f>AND(#REF!,"AAAAAE0/sY4=")</f>
        <v>#REF!</v>
      </c>
      <c r="EN50" s="1" t="e">
        <f>AND(#REF!,"AAAAAE0/sY8=")</f>
        <v>#REF!</v>
      </c>
      <c r="EO50" s="1" t="e">
        <f>AND(#REF!,"AAAAAE0/sZA=")</f>
        <v>#REF!</v>
      </c>
      <c r="EP50" s="1" t="e">
        <f>AND(#REF!,"AAAAAE0/sZE=")</f>
        <v>#REF!</v>
      </c>
      <c r="EQ50" s="1" t="e">
        <f>AND(#REF!,"AAAAAE0/sZI=")</f>
        <v>#REF!</v>
      </c>
      <c r="ER50" s="1" t="e">
        <f>AND(#REF!,"AAAAAE0/sZM=")</f>
        <v>#REF!</v>
      </c>
      <c r="ES50" s="1" t="e">
        <f>AND(#REF!,"AAAAAE0/sZQ=")</f>
        <v>#REF!</v>
      </c>
      <c r="ET50" s="1" t="e">
        <f>AND(#REF!,"AAAAAE0/sZU=")</f>
        <v>#REF!</v>
      </c>
      <c r="EU50" s="1" t="e">
        <f>AND(#REF!,"AAAAAE0/sZY=")</f>
        <v>#REF!</v>
      </c>
      <c r="EV50" s="1" t="e">
        <f>AND(#REF!,"AAAAAE0/sZc=")</f>
        <v>#REF!</v>
      </c>
      <c r="EW50" s="1" t="e">
        <f>AND(#REF!,"AAAAAE0/sZg=")</f>
        <v>#REF!</v>
      </c>
      <c r="EX50" s="1" t="e">
        <f>AND(#REF!,"AAAAAE0/sZk=")</f>
        <v>#REF!</v>
      </c>
      <c r="EY50" s="1" t="e">
        <f>AND(#REF!,"AAAAAE0/sZo=")</f>
        <v>#REF!</v>
      </c>
      <c r="EZ50" s="1" t="e">
        <f>AND(#REF!,"AAAAAE0/sZs=")</f>
        <v>#REF!</v>
      </c>
      <c r="FA50" s="1" t="e">
        <f>AND(#REF!,"AAAAAE0/sZw=")</f>
        <v>#REF!</v>
      </c>
      <c r="FB50" s="1" t="e">
        <f>AND(#REF!,"AAAAAE0/sZ0=")</f>
        <v>#REF!</v>
      </c>
      <c r="FC50" s="1" t="e">
        <f>AND(#REF!,"AAAAAE0/sZ4=")</f>
        <v>#REF!</v>
      </c>
      <c r="FD50" s="1" t="e">
        <f>AND(#REF!,"AAAAAE0/sZ8=")</f>
        <v>#REF!</v>
      </c>
      <c r="FE50" s="1" t="e">
        <f>AND(#REF!,"AAAAAE0/saA=")</f>
        <v>#REF!</v>
      </c>
      <c r="FF50" s="1" t="e">
        <f>AND(#REF!,"AAAAAE0/saE=")</f>
        <v>#REF!</v>
      </c>
      <c r="FG50" s="1" t="e">
        <f>AND(#REF!,"AAAAAE0/saI=")</f>
        <v>#REF!</v>
      </c>
      <c r="FH50" s="1" t="e">
        <f>IF(#REF!,"AAAAAE0/saM=",0)</f>
        <v>#REF!</v>
      </c>
      <c r="FI50" s="1" t="e">
        <f>AND(#REF!,"AAAAAE0/saQ=")</f>
        <v>#REF!</v>
      </c>
      <c r="FJ50" s="1" t="e">
        <f>AND(#REF!,"AAAAAE0/saU=")</f>
        <v>#REF!</v>
      </c>
      <c r="FK50" s="1" t="e">
        <f>AND(#REF!,"AAAAAE0/saY=")</f>
        <v>#REF!</v>
      </c>
      <c r="FL50" s="1" t="e">
        <f>AND(#REF!,"AAAAAE0/sac=")</f>
        <v>#REF!</v>
      </c>
      <c r="FM50" s="1" t="e">
        <f>AND(#REF!,"AAAAAE0/sag=")</f>
        <v>#REF!</v>
      </c>
      <c r="FN50" s="1" t="e">
        <f>AND(#REF!,"AAAAAE0/sak=")</f>
        <v>#REF!</v>
      </c>
      <c r="FO50" s="1" t="e">
        <f>AND(#REF!,"AAAAAE0/sao=")</f>
        <v>#REF!</v>
      </c>
      <c r="FP50" s="1" t="e">
        <f>AND(#REF!,"AAAAAE0/sas=")</f>
        <v>#REF!</v>
      </c>
      <c r="FQ50" s="1" t="e">
        <f>AND(#REF!,"AAAAAE0/saw=")</f>
        <v>#REF!</v>
      </c>
      <c r="FR50" s="1" t="e">
        <f>AND(#REF!,"AAAAAE0/sa0=")</f>
        <v>#REF!</v>
      </c>
      <c r="FS50" s="1" t="e">
        <f>AND(#REF!,"AAAAAE0/sa4=")</f>
        <v>#REF!</v>
      </c>
      <c r="FT50" s="1" t="e">
        <f>AND(#REF!,"AAAAAE0/sa8=")</f>
        <v>#REF!</v>
      </c>
      <c r="FU50" s="1" t="e">
        <f>AND(#REF!,"AAAAAE0/sbA=")</f>
        <v>#REF!</v>
      </c>
      <c r="FV50" s="1" t="e">
        <f>AND(#REF!,"AAAAAE0/sbE=")</f>
        <v>#REF!</v>
      </c>
      <c r="FW50" s="1" t="e">
        <f>AND(#REF!,"AAAAAE0/sbI=")</f>
        <v>#REF!</v>
      </c>
      <c r="FX50" s="1" t="e">
        <f>AND(#REF!,"AAAAAE0/sbM=")</f>
        <v>#REF!</v>
      </c>
      <c r="FY50" s="1" t="e">
        <f>AND(#REF!,"AAAAAE0/sbQ=")</f>
        <v>#REF!</v>
      </c>
      <c r="FZ50" s="1" t="e">
        <f>AND(#REF!,"AAAAAE0/sbU=")</f>
        <v>#REF!</v>
      </c>
      <c r="GA50" s="1" t="e">
        <f>AND(#REF!,"AAAAAE0/sbY=")</f>
        <v>#REF!</v>
      </c>
      <c r="GB50" s="1" t="e">
        <f>AND(#REF!,"AAAAAE0/sbc=")</f>
        <v>#REF!</v>
      </c>
      <c r="GC50" s="1" t="e">
        <f>AND(#REF!,"AAAAAE0/sbg=")</f>
        <v>#REF!</v>
      </c>
      <c r="GD50" s="1" t="e">
        <f>AND(#REF!,"AAAAAE0/sbk=")</f>
        <v>#REF!</v>
      </c>
      <c r="GE50" s="1" t="e">
        <f>AND(#REF!,"AAAAAE0/sbo=")</f>
        <v>#REF!</v>
      </c>
      <c r="GF50" s="1" t="e">
        <f>AND(#REF!,"AAAAAE0/sbs=")</f>
        <v>#REF!</v>
      </c>
      <c r="GG50" s="1" t="e">
        <f>AND(#REF!,"AAAAAE0/sbw=")</f>
        <v>#REF!</v>
      </c>
      <c r="GH50" s="1" t="e">
        <f>AND(#REF!,"AAAAAE0/sb0=")</f>
        <v>#REF!</v>
      </c>
      <c r="GI50" s="1" t="e">
        <f>IF(#REF!,"AAAAAE0/sb4=",0)</f>
        <v>#REF!</v>
      </c>
      <c r="GJ50" s="1" t="e">
        <f>AND(#REF!,"AAAAAE0/sb8=")</f>
        <v>#REF!</v>
      </c>
      <c r="GK50" s="1" t="e">
        <f>AND(#REF!,"AAAAAE0/scA=")</f>
        <v>#REF!</v>
      </c>
      <c r="GL50" s="1" t="e">
        <f>AND(#REF!,"AAAAAE0/scE=")</f>
        <v>#REF!</v>
      </c>
      <c r="GM50" s="1" t="e">
        <f>AND(#REF!,"AAAAAE0/scI=")</f>
        <v>#REF!</v>
      </c>
      <c r="GN50" s="1" t="e">
        <f>AND(#REF!,"AAAAAE0/scM=")</f>
        <v>#REF!</v>
      </c>
      <c r="GO50" s="1" t="e">
        <f>AND(#REF!,"AAAAAE0/scQ=")</f>
        <v>#REF!</v>
      </c>
      <c r="GP50" s="1" t="e">
        <f>AND(#REF!,"AAAAAE0/scU=")</f>
        <v>#REF!</v>
      </c>
      <c r="GQ50" s="1" t="e">
        <f>AND(#REF!,"AAAAAE0/scY=")</f>
        <v>#REF!</v>
      </c>
      <c r="GR50" s="1" t="e">
        <f>AND(#REF!,"AAAAAE0/scc=")</f>
        <v>#REF!</v>
      </c>
      <c r="GS50" s="1" t="e">
        <f>AND(#REF!,"AAAAAE0/scg=")</f>
        <v>#REF!</v>
      </c>
      <c r="GT50" s="1" t="e">
        <f>AND(#REF!,"AAAAAE0/sck=")</f>
        <v>#REF!</v>
      </c>
      <c r="GU50" s="1" t="e">
        <f>AND(#REF!,"AAAAAE0/sco=")</f>
        <v>#REF!</v>
      </c>
      <c r="GV50" s="1" t="e">
        <f>AND(#REF!,"AAAAAE0/scs=")</f>
        <v>#REF!</v>
      </c>
      <c r="GW50" s="1" t="e">
        <f>AND(#REF!,"AAAAAE0/scw=")</f>
        <v>#REF!</v>
      </c>
      <c r="GX50" s="1" t="e">
        <f>AND(#REF!,"AAAAAE0/sc0=")</f>
        <v>#REF!</v>
      </c>
      <c r="GY50" s="1" t="e">
        <f>AND(#REF!,"AAAAAE0/sc4=")</f>
        <v>#REF!</v>
      </c>
      <c r="GZ50" s="1" t="e">
        <f>AND(#REF!,"AAAAAE0/sc8=")</f>
        <v>#REF!</v>
      </c>
      <c r="HA50" s="1" t="e">
        <f>AND(#REF!,"AAAAAE0/sdA=")</f>
        <v>#REF!</v>
      </c>
      <c r="HB50" s="1" t="e">
        <f>AND(#REF!,"AAAAAE0/sdE=")</f>
        <v>#REF!</v>
      </c>
      <c r="HC50" s="1" t="e">
        <f>AND(#REF!,"AAAAAE0/sdI=")</f>
        <v>#REF!</v>
      </c>
      <c r="HD50" s="1" t="e">
        <f>AND(#REF!,"AAAAAE0/sdM=")</f>
        <v>#REF!</v>
      </c>
      <c r="HE50" s="1" t="e">
        <f>AND(#REF!,"AAAAAE0/sdQ=")</f>
        <v>#REF!</v>
      </c>
      <c r="HF50" s="1" t="e">
        <f>AND(#REF!,"AAAAAE0/sdU=")</f>
        <v>#REF!</v>
      </c>
      <c r="HG50" s="1" t="e">
        <f>AND(#REF!,"AAAAAE0/sdY=")</f>
        <v>#REF!</v>
      </c>
      <c r="HH50" s="1" t="e">
        <f>AND(#REF!,"AAAAAE0/sdc=")</f>
        <v>#REF!</v>
      </c>
      <c r="HI50" s="1" t="e">
        <f>AND(#REF!,"AAAAAE0/sdg=")</f>
        <v>#REF!</v>
      </c>
      <c r="HJ50" s="1" t="e">
        <f>IF(#REF!,"AAAAAE0/sdk=",0)</f>
        <v>#REF!</v>
      </c>
      <c r="HK50" s="1" t="e">
        <f>AND(#REF!,"AAAAAE0/sdo=")</f>
        <v>#REF!</v>
      </c>
      <c r="HL50" s="1" t="e">
        <f>AND(#REF!,"AAAAAE0/sds=")</f>
        <v>#REF!</v>
      </c>
      <c r="HM50" s="1" t="e">
        <f>AND(#REF!,"AAAAAE0/sdw=")</f>
        <v>#REF!</v>
      </c>
      <c r="HN50" s="1" t="e">
        <f>AND(#REF!,"AAAAAE0/sd0=")</f>
        <v>#REF!</v>
      </c>
      <c r="HO50" s="1" t="e">
        <f>AND(#REF!,"AAAAAE0/sd4=")</f>
        <v>#REF!</v>
      </c>
      <c r="HP50" s="1" t="e">
        <f>AND(#REF!,"AAAAAE0/sd8=")</f>
        <v>#REF!</v>
      </c>
      <c r="HQ50" s="1" t="e">
        <f>AND(#REF!,"AAAAAE0/seA=")</f>
        <v>#REF!</v>
      </c>
      <c r="HR50" s="1" t="e">
        <f>AND(#REF!,"AAAAAE0/seE=")</f>
        <v>#REF!</v>
      </c>
      <c r="HS50" s="1" t="e">
        <f>AND(#REF!,"AAAAAE0/seI=")</f>
        <v>#REF!</v>
      </c>
      <c r="HT50" s="1" t="e">
        <f>AND(#REF!,"AAAAAE0/seM=")</f>
        <v>#REF!</v>
      </c>
      <c r="HU50" s="1" t="e">
        <f>AND(#REF!,"AAAAAE0/seQ=")</f>
        <v>#REF!</v>
      </c>
      <c r="HV50" s="1" t="e">
        <f>AND(#REF!,"AAAAAE0/seU=")</f>
        <v>#REF!</v>
      </c>
      <c r="HW50" s="1" t="e">
        <f>AND(#REF!,"AAAAAE0/seY=")</f>
        <v>#REF!</v>
      </c>
      <c r="HX50" s="1" t="e">
        <f>AND(#REF!,"AAAAAE0/sec=")</f>
        <v>#REF!</v>
      </c>
      <c r="HY50" s="1" t="e">
        <f>AND(#REF!,"AAAAAE0/seg=")</f>
        <v>#REF!</v>
      </c>
      <c r="HZ50" s="1" t="e">
        <f>AND(#REF!,"AAAAAE0/sek=")</f>
        <v>#REF!</v>
      </c>
      <c r="IA50" s="1" t="e">
        <f>AND(#REF!,"AAAAAE0/seo=")</f>
        <v>#REF!</v>
      </c>
      <c r="IB50" s="1" t="e">
        <f>AND(#REF!,"AAAAAE0/ses=")</f>
        <v>#REF!</v>
      </c>
      <c r="IC50" s="1" t="e">
        <f>AND(#REF!,"AAAAAE0/sew=")</f>
        <v>#REF!</v>
      </c>
      <c r="ID50" s="1" t="e">
        <f>AND(#REF!,"AAAAAE0/se0=")</f>
        <v>#REF!</v>
      </c>
      <c r="IE50" s="1" t="e">
        <f>AND(#REF!,"AAAAAE0/se4=")</f>
        <v>#REF!</v>
      </c>
      <c r="IF50" s="1" t="e">
        <f>AND(#REF!,"AAAAAE0/se8=")</f>
        <v>#REF!</v>
      </c>
      <c r="IG50" s="1" t="e">
        <f>AND(#REF!,"AAAAAE0/sfA=")</f>
        <v>#REF!</v>
      </c>
      <c r="IH50" s="1" t="e">
        <f>AND(#REF!,"AAAAAE0/sfE=")</f>
        <v>#REF!</v>
      </c>
      <c r="II50" s="1" t="e">
        <f>AND(#REF!,"AAAAAE0/sfI=")</f>
        <v>#REF!</v>
      </c>
      <c r="IJ50" s="1" t="e">
        <f>AND(#REF!,"AAAAAE0/sfM=")</f>
        <v>#REF!</v>
      </c>
      <c r="IK50" s="1" t="e">
        <f>IF(#REF!,"AAAAAE0/sfQ=",0)</f>
        <v>#REF!</v>
      </c>
      <c r="IL50" s="1" t="e">
        <f>AND(#REF!,"AAAAAE0/sfU=")</f>
        <v>#REF!</v>
      </c>
      <c r="IM50" s="1" t="e">
        <f>AND(#REF!,"AAAAAE0/sfY=")</f>
        <v>#REF!</v>
      </c>
      <c r="IN50" s="1" t="e">
        <f>AND(#REF!,"AAAAAE0/sfc=")</f>
        <v>#REF!</v>
      </c>
      <c r="IO50" s="1" t="e">
        <f>AND(#REF!,"AAAAAE0/sfg=")</f>
        <v>#REF!</v>
      </c>
      <c r="IP50" s="1" t="e">
        <f>AND(#REF!,"AAAAAE0/sfk=")</f>
        <v>#REF!</v>
      </c>
      <c r="IQ50" s="1" t="e">
        <f>AND(#REF!,"AAAAAE0/sfo=")</f>
        <v>#REF!</v>
      </c>
      <c r="IR50" s="1" t="e">
        <f>AND(#REF!,"AAAAAE0/sfs=")</f>
        <v>#REF!</v>
      </c>
      <c r="IS50" s="1" t="e">
        <f>AND(#REF!,"AAAAAE0/sfw=")</f>
        <v>#REF!</v>
      </c>
      <c r="IT50" s="1" t="e">
        <f>AND(#REF!,"AAAAAE0/sf0=")</f>
        <v>#REF!</v>
      </c>
      <c r="IU50" s="1" t="e">
        <f>AND(#REF!,"AAAAAE0/sf4=")</f>
        <v>#REF!</v>
      </c>
      <c r="IV50" s="1" t="e">
        <f>AND(#REF!,"AAAAAE0/sf8=")</f>
        <v>#REF!</v>
      </c>
    </row>
    <row r="51" spans="1:256" ht="15" customHeight="1" x14ac:dyDescent="0.2">
      <c r="A51" s="1" t="e">
        <f>AND(#REF!,"AAAAAF79/wA=")</f>
        <v>#REF!</v>
      </c>
      <c r="B51" s="1" t="e">
        <f>AND(#REF!,"AAAAAF79/wE=")</f>
        <v>#REF!</v>
      </c>
      <c r="C51" s="1" t="e">
        <f>AND(#REF!,"AAAAAF79/wI=")</f>
        <v>#REF!</v>
      </c>
      <c r="D51" s="1" t="e">
        <f>AND(#REF!,"AAAAAF79/wM=")</f>
        <v>#REF!</v>
      </c>
      <c r="E51" s="1" t="e">
        <f>AND(#REF!,"AAAAAF79/wQ=")</f>
        <v>#REF!</v>
      </c>
      <c r="F51" s="1" t="e">
        <f>AND(#REF!,"AAAAAF79/wU=")</f>
        <v>#REF!</v>
      </c>
      <c r="G51" s="1" t="e">
        <f>AND(#REF!,"AAAAAF79/wY=")</f>
        <v>#REF!</v>
      </c>
      <c r="H51" s="1" t="e">
        <f>AND(#REF!,"AAAAAF79/wc=")</f>
        <v>#REF!</v>
      </c>
      <c r="I51" s="1" t="e">
        <f>AND(#REF!,"AAAAAF79/wg=")</f>
        <v>#REF!</v>
      </c>
      <c r="J51" s="1" t="e">
        <f>AND(#REF!,"AAAAAF79/wk=")</f>
        <v>#REF!</v>
      </c>
      <c r="K51" s="1" t="e">
        <f>AND(#REF!,"AAAAAF79/wo=")</f>
        <v>#REF!</v>
      </c>
      <c r="L51" s="1" t="e">
        <f>AND(#REF!,"AAAAAF79/ws=")</f>
        <v>#REF!</v>
      </c>
      <c r="M51" s="1" t="e">
        <f>AND(#REF!,"AAAAAF79/ww=")</f>
        <v>#REF!</v>
      </c>
      <c r="N51" s="1" t="e">
        <f>AND(#REF!,"AAAAAF79/w0=")</f>
        <v>#REF!</v>
      </c>
      <c r="O51" s="1" t="e">
        <f>AND(#REF!,"AAAAAF79/w4=")</f>
        <v>#REF!</v>
      </c>
      <c r="P51" s="1" t="e">
        <f>IF(#REF!,"AAAAAF79/w8=",0)</f>
        <v>#REF!</v>
      </c>
      <c r="Q51" s="1" t="e">
        <f>AND(#REF!,"AAAAAF79/xA=")</f>
        <v>#REF!</v>
      </c>
      <c r="R51" s="1" t="e">
        <f>AND(#REF!,"AAAAAF79/xE=")</f>
        <v>#REF!</v>
      </c>
      <c r="S51" s="1" t="e">
        <f>AND(#REF!,"AAAAAF79/xI=")</f>
        <v>#REF!</v>
      </c>
      <c r="T51" s="1" t="e">
        <f>AND(#REF!,"AAAAAF79/xM=")</f>
        <v>#REF!</v>
      </c>
      <c r="U51" s="1" t="e">
        <f>AND(#REF!,"AAAAAF79/xQ=")</f>
        <v>#REF!</v>
      </c>
      <c r="V51" s="1" t="e">
        <f>AND(#REF!,"AAAAAF79/xU=")</f>
        <v>#REF!</v>
      </c>
      <c r="W51" s="1" t="e">
        <f>AND(#REF!,"AAAAAF79/xY=")</f>
        <v>#REF!</v>
      </c>
      <c r="X51" s="1" t="e">
        <f>AND(#REF!,"AAAAAF79/xc=")</f>
        <v>#REF!</v>
      </c>
      <c r="Y51" s="1" t="e">
        <f>AND(#REF!,"AAAAAF79/xg=")</f>
        <v>#REF!</v>
      </c>
      <c r="Z51" s="1" t="e">
        <f>AND(#REF!,"AAAAAF79/xk=")</f>
        <v>#REF!</v>
      </c>
      <c r="AA51" s="1" t="e">
        <f>AND(#REF!,"AAAAAF79/xo=")</f>
        <v>#REF!</v>
      </c>
      <c r="AB51" s="1" t="e">
        <f>AND(#REF!,"AAAAAF79/xs=")</f>
        <v>#REF!</v>
      </c>
      <c r="AC51" s="1" t="e">
        <f>AND(#REF!,"AAAAAF79/xw=")</f>
        <v>#REF!</v>
      </c>
      <c r="AD51" s="1" t="e">
        <f>AND(#REF!,"AAAAAF79/x0=")</f>
        <v>#REF!</v>
      </c>
      <c r="AE51" s="1" t="e">
        <f>AND(#REF!,"AAAAAF79/x4=")</f>
        <v>#REF!</v>
      </c>
      <c r="AF51" s="1" t="e">
        <f>AND(#REF!,"AAAAAF79/x8=")</f>
        <v>#REF!</v>
      </c>
      <c r="AG51" s="1" t="e">
        <f>AND(#REF!,"AAAAAF79/yA=")</f>
        <v>#REF!</v>
      </c>
      <c r="AH51" s="1" t="e">
        <f>AND(#REF!,"AAAAAF79/yE=")</f>
        <v>#REF!</v>
      </c>
      <c r="AI51" s="1" t="e">
        <f>AND(#REF!,"AAAAAF79/yI=")</f>
        <v>#REF!</v>
      </c>
      <c r="AJ51" s="1" t="e">
        <f>AND(#REF!,"AAAAAF79/yM=")</f>
        <v>#REF!</v>
      </c>
      <c r="AK51" s="1" t="e">
        <f>AND(#REF!,"AAAAAF79/yQ=")</f>
        <v>#REF!</v>
      </c>
      <c r="AL51" s="1" t="e">
        <f>AND(#REF!,"AAAAAF79/yU=")</f>
        <v>#REF!</v>
      </c>
      <c r="AM51" s="1" t="e">
        <f>AND(#REF!,"AAAAAF79/yY=")</f>
        <v>#REF!</v>
      </c>
      <c r="AN51" s="1" t="e">
        <f>AND(#REF!,"AAAAAF79/yc=")</f>
        <v>#REF!</v>
      </c>
      <c r="AO51" s="1" t="e">
        <f>AND(#REF!,"AAAAAF79/yg=")</f>
        <v>#REF!</v>
      </c>
      <c r="AP51" s="1" t="e">
        <f>AND(#REF!,"AAAAAF79/yk=")</f>
        <v>#REF!</v>
      </c>
      <c r="AQ51" s="1" t="e">
        <f>IF(#REF!,"AAAAAF79/yo=",0)</f>
        <v>#REF!</v>
      </c>
      <c r="AR51" s="1" t="e">
        <f>AND(#REF!,"AAAAAF79/ys=")</f>
        <v>#REF!</v>
      </c>
      <c r="AS51" s="1" t="e">
        <f>AND(#REF!,"AAAAAF79/yw=")</f>
        <v>#REF!</v>
      </c>
      <c r="AT51" s="1" t="e">
        <f>AND(#REF!,"AAAAAF79/y0=")</f>
        <v>#REF!</v>
      </c>
      <c r="AU51" s="1" t="e">
        <f>AND(#REF!,"AAAAAF79/y4=")</f>
        <v>#REF!</v>
      </c>
      <c r="AV51" s="1" t="e">
        <f>AND(#REF!,"AAAAAF79/y8=")</f>
        <v>#REF!</v>
      </c>
      <c r="AW51" s="1" t="e">
        <f>AND(#REF!,"AAAAAF79/zA=")</f>
        <v>#REF!</v>
      </c>
      <c r="AX51" s="1" t="e">
        <f>AND(#REF!,"AAAAAF79/zE=")</f>
        <v>#REF!</v>
      </c>
      <c r="AY51" s="1" t="e">
        <f>AND(#REF!,"AAAAAF79/zI=")</f>
        <v>#REF!</v>
      </c>
      <c r="AZ51" s="1" t="e">
        <f>AND(#REF!,"AAAAAF79/zM=")</f>
        <v>#REF!</v>
      </c>
      <c r="BA51" s="1" t="e">
        <f>AND(#REF!,"AAAAAF79/zQ=")</f>
        <v>#REF!</v>
      </c>
      <c r="BB51" s="1" t="e">
        <f>AND(#REF!,"AAAAAF79/zU=")</f>
        <v>#REF!</v>
      </c>
      <c r="BC51" s="1" t="e">
        <f>AND(#REF!,"AAAAAF79/zY=")</f>
        <v>#REF!</v>
      </c>
      <c r="BD51" s="1" t="e">
        <f>AND(#REF!,"AAAAAF79/zc=")</f>
        <v>#REF!</v>
      </c>
      <c r="BE51" s="1" t="e">
        <f>AND(#REF!,"AAAAAF79/zg=")</f>
        <v>#REF!</v>
      </c>
      <c r="BF51" s="1" t="e">
        <f>AND(#REF!,"AAAAAF79/zk=")</f>
        <v>#REF!</v>
      </c>
      <c r="BG51" s="1" t="e">
        <f>AND(#REF!,"AAAAAF79/zo=")</f>
        <v>#REF!</v>
      </c>
      <c r="BH51" s="1" t="e">
        <f>AND(#REF!,"AAAAAF79/zs=")</f>
        <v>#REF!</v>
      </c>
      <c r="BI51" s="1" t="e">
        <f>AND(#REF!,"AAAAAF79/zw=")</f>
        <v>#REF!</v>
      </c>
      <c r="BJ51" s="1" t="e">
        <f>AND(#REF!,"AAAAAF79/z0=")</f>
        <v>#REF!</v>
      </c>
      <c r="BK51" s="1" t="e">
        <f>AND(#REF!,"AAAAAF79/z4=")</f>
        <v>#REF!</v>
      </c>
      <c r="BL51" s="1" t="e">
        <f>AND(#REF!,"AAAAAF79/z8=")</f>
        <v>#REF!</v>
      </c>
      <c r="BM51" s="1" t="e">
        <f>AND(#REF!,"AAAAAF79/0A=")</f>
        <v>#REF!</v>
      </c>
      <c r="BN51" s="1" t="e">
        <f>AND(#REF!,"AAAAAF79/0E=")</f>
        <v>#REF!</v>
      </c>
      <c r="BO51" s="1" t="e">
        <f>AND(#REF!,"AAAAAF79/0I=")</f>
        <v>#REF!</v>
      </c>
      <c r="BP51" s="1" t="e">
        <f>AND(#REF!,"AAAAAF79/0M=")</f>
        <v>#REF!</v>
      </c>
      <c r="BQ51" s="1" t="e">
        <f>AND(#REF!,"AAAAAF79/0Q=")</f>
        <v>#REF!</v>
      </c>
      <c r="BR51" s="1" t="e">
        <f>IF(#REF!,"AAAAAF79/0U=",0)</f>
        <v>#REF!</v>
      </c>
      <c r="BS51" s="1" t="e">
        <f>AND(#REF!,"AAAAAF79/0Y=")</f>
        <v>#REF!</v>
      </c>
      <c r="BT51" s="1" t="e">
        <f>AND(#REF!,"AAAAAF79/0c=")</f>
        <v>#REF!</v>
      </c>
      <c r="BU51" s="1" t="e">
        <f>AND(#REF!,"AAAAAF79/0g=")</f>
        <v>#REF!</v>
      </c>
      <c r="BV51" s="1" t="e">
        <f>AND(#REF!,"AAAAAF79/0k=")</f>
        <v>#REF!</v>
      </c>
      <c r="BW51" s="1" t="e">
        <f>AND(#REF!,"AAAAAF79/0o=")</f>
        <v>#REF!</v>
      </c>
      <c r="BX51" s="1" t="e">
        <f>AND(#REF!,"AAAAAF79/0s=")</f>
        <v>#REF!</v>
      </c>
      <c r="BY51" s="1" t="e">
        <f>AND(#REF!,"AAAAAF79/0w=")</f>
        <v>#REF!</v>
      </c>
      <c r="BZ51" s="1" t="e">
        <f>AND(#REF!,"AAAAAF79/00=")</f>
        <v>#REF!</v>
      </c>
      <c r="CA51" s="1" t="e">
        <f>AND(#REF!,"AAAAAF79/04=")</f>
        <v>#REF!</v>
      </c>
      <c r="CB51" s="1" t="e">
        <f>AND(#REF!,"AAAAAF79/08=")</f>
        <v>#REF!</v>
      </c>
      <c r="CC51" s="1" t="e">
        <f>AND(#REF!,"AAAAAF79/1A=")</f>
        <v>#REF!</v>
      </c>
      <c r="CD51" s="1" t="e">
        <f>AND(#REF!,"AAAAAF79/1E=")</f>
        <v>#REF!</v>
      </c>
      <c r="CE51" s="1" t="e">
        <f>AND(#REF!,"AAAAAF79/1I=")</f>
        <v>#REF!</v>
      </c>
      <c r="CF51" s="1" t="e">
        <f>AND(#REF!,"AAAAAF79/1M=")</f>
        <v>#REF!</v>
      </c>
      <c r="CG51" s="1" t="e">
        <f>AND(#REF!,"AAAAAF79/1Q=")</f>
        <v>#REF!</v>
      </c>
      <c r="CH51" s="1" t="e">
        <f>AND(#REF!,"AAAAAF79/1U=")</f>
        <v>#REF!</v>
      </c>
      <c r="CI51" s="1" t="e">
        <f>AND(#REF!,"AAAAAF79/1Y=")</f>
        <v>#REF!</v>
      </c>
      <c r="CJ51" s="1" t="e">
        <f>AND(#REF!,"AAAAAF79/1c=")</f>
        <v>#REF!</v>
      </c>
      <c r="CK51" s="1" t="e">
        <f>AND(#REF!,"AAAAAF79/1g=")</f>
        <v>#REF!</v>
      </c>
      <c r="CL51" s="1" t="e">
        <f>AND(#REF!,"AAAAAF79/1k=")</f>
        <v>#REF!</v>
      </c>
      <c r="CM51" s="1" t="e">
        <f>AND(#REF!,"AAAAAF79/1o=")</f>
        <v>#REF!</v>
      </c>
      <c r="CN51" s="1" t="e">
        <f>AND(#REF!,"AAAAAF79/1s=")</f>
        <v>#REF!</v>
      </c>
      <c r="CO51" s="1" t="e">
        <f>AND(#REF!,"AAAAAF79/1w=")</f>
        <v>#REF!</v>
      </c>
      <c r="CP51" s="1" t="e">
        <f>AND(#REF!,"AAAAAF79/10=")</f>
        <v>#REF!</v>
      </c>
      <c r="CQ51" s="1" t="e">
        <f>AND(#REF!,"AAAAAF79/14=")</f>
        <v>#REF!</v>
      </c>
      <c r="CR51" s="1" t="e">
        <f>AND(#REF!,"AAAAAF79/18=")</f>
        <v>#REF!</v>
      </c>
      <c r="CS51" s="1" t="e">
        <f>IF(#REF!,"AAAAAF79/2A=",0)</f>
        <v>#REF!</v>
      </c>
      <c r="CT51" s="1" t="e">
        <f>AND(#REF!,"AAAAAF79/2E=")</f>
        <v>#REF!</v>
      </c>
      <c r="CU51" s="1" t="e">
        <f>AND(#REF!,"AAAAAF79/2I=")</f>
        <v>#REF!</v>
      </c>
      <c r="CV51" s="1" t="e">
        <f>AND(#REF!,"AAAAAF79/2M=")</f>
        <v>#REF!</v>
      </c>
      <c r="CW51" s="1" t="e">
        <f>AND(#REF!,"AAAAAF79/2Q=")</f>
        <v>#REF!</v>
      </c>
      <c r="CX51" s="1" t="e">
        <f>AND(#REF!,"AAAAAF79/2U=")</f>
        <v>#REF!</v>
      </c>
      <c r="CY51" s="1" t="e">
        <f>AND(#REF!,"AAAAAF79/2Y=")</f>
        <v>#REF!</v>
      </c>
      <c r="CZ51" s="1" t="e">
        <f>AND(#REF!,"AAAAAF79/2c=")</f>
        <v>#REF!</v>
      </c>
      <c r="DA51" s="1" t="e">
        <f>AND(#REF!,"AAAAAF79/2g=")</f>
        <v>#REF!</v>
      </c>
      <c r="DB51" s="1" t="e">
        <f>AND(#REF!,"AAAAAF79/2k=")</f>
        <v>#REF!</v>
      </c>
      <c r="DC51" s="1" t="e">
        <f>AND(#REF!,"AAAAAF79/2o=")</f>
        <v>#REF!</v>
      </c>
      <c r="DD51" s="1" t="e">
        <f>AND(#REF!,"AAAAAF79/2s=")</f>
        <v>#REF!</v>
      </c>
      <c r="DE51" s="1" t="e">
        <f>AND(#REF!,"AAAAAF79/2w=")</f>
        <v>#REF!</v>
      </c>
      <c r="DF51" s="1" t="e">
        <f>AND(#REF!,"AAAAAF79/20=")</f>
        <v>#REF!</v>
      </c>
      <c r="DG51" s="1" t="e">
        <f>AND(#REF!,"AAAAAF79/24=")</f>
        <v>#REF!</v>
      </c>
      <c r="DH51" s="1" t="e">
        <f>AND(#REF!,"AAAAAF79/28=")</f>
        <v>#REF!</v>
      </c>
      <c r="DI51" s="1" t="e">
        <f>AND(#REF!,"AAAAAF79/3A=")</f>
        <v>#REF!</v>
      </c>
      <c r="DJ51" s="1" t="e">
        <f>AND(#REF!,"AAAAAF79/3E=")</f>
        <v>#REF!</v>
      </c>
      <c r="DK51" s="1" t="e">
        <f>AND(#REF!,"AAAAAF79/3I=")</f>
        <v>#REF!</v>
      </c>
      <c r="DL51" s="1" t="e">
        <f>AND(#REF!,"AAAAAF79/3M=")</f>
        <v>#REF!</v>
      </c>
      <c r="DM51" s="1" t="e">
        <f>AND(#REF!,"AAAAAF79/3Q=")</f>
        <v>#REF!</v>
      </c>
      <c r="DN51" s="1" t="e">
        <f>AND(#REF!,"AAAAAF79/3U=")</f>
        <v>#REF!</v>
      </c>
      <c r="DO51" s="1" t="e">
        <f>AND(#REF!,"AAAAAF79/3Y=")</f>
        <v>#REF!</v>
      </c>
      <c r="DP51" s="1" t="e">
        <f>AND(#REF!,"AAAAAF79/3c=")</f>
        <v>#REF!</v>
      </c>
      <c r="DQ51" s="1" t="e">
        <f>AND(#REF!,"AAAAAF79/3g=")</f>
        <v>#REF!</v>
      </c>
      <c r="DR51" s="1" t="e">
        <f>AND(#REF!,"AAAAAF79/3k=")</f>
        <v>#REF!</v>
      </c>
      <c r="DS51" s="1" t="e">
        <f>AND(#REF!,"AAAAAF79/3o=")</f>
        <v>#REF!</v>
      </c>
      <c r="DT51" s="1" t="e">
        <f>IF(#REF!,"AAAAAF79/3s=",0)</f>
        <v>#REF!</v>
      </c>
      <c r="DU51" s="1" t="e">
        <f>AND(#REF!,"AAAAAF79/3w=")</f>
        <v>#REF!</v>
      </c>
      <c r="DV51" s="1" t="e">
        <f>AND(#REF!,"AAAAAF79/30=")</f>
        <v>#REF!</v>
      </c>
      <c r="DW51" s="1" t="e">
        <f>AND(#REF!,"AAAAAF79/34=")</f>
        <v>#REF!</v>
      </c>
      <c r="DX51" s="1" t="e">
        <f>AND(#REF!,"AAAAAF79/38=")</f>
        <v>#REF!</v>
      </c>
      <c r="DY51" s="1" t="e">
        <f>AND(#REF!,"AAAAAF79/4A=")</f>
        <v>#REF!</v>
      </c>
      <c r="DZ51" s="1" t="e">
        <f>AND(#REF!,"AAAAAF79/4E=")</f>
        <v>#REF!</v>
      </c>
      <c r="EA51" s="1" t="e">
        <f>AND(#REF!,"AAAAAF79/4I=")</f>
        <v>#REF!</v>
      </c>
      <c r="EB51" s="1" t="e">
        <f>AND(#REF!,"AAAAAF79/4M=")</f>
        <v>#REF!</v>
      </c>
      <c r="EC51" s="1" t="e">
        <f>AND(#REF!,"AAAAAF79/4Q=")</f>
        <v>#REF!</v>
      </c>
      <c r="ED51" s="1" t="e">
        <f>AND(#REF!,"AAAAAF79/4U=")</f>
        <v>#REF!</v>
      </c>
      <c r="EE51" s="1" t="e">
        <f>AND(#REF!,"AAAAAF79/4Y=")</f>
        <v>#REF!</v>
      </c>
      <c r="EF51" s="1" t="e">
        <f>AND(#REF!,"AAAAAF79/4c=")</f>
        <v>#REF!</v>
      </c>
      <c r="EG51" s="1" t="e">
        <f>AND(#REF!,"AAAAAF79/4g=")</f>
        <v>#REF!</v>
      </c>
      <c r="EH51" s="1" t="e">
        <f>AND(#REF!,"AAAAAF79/4k=")</f>
        <v>#REF!</v>
      </c>
      <c r="EI51" s="1" t="e">
        <f>AND(#REF!,"AAAAAF79/4o=")</f>
        <v>#REF!</v>
      </c>
      <c r="EJ51" s="1" t="e">
        <f>AND(#REF!,"AAAAAF79/4s=")</f>
        <v>#REF!</v>
      </c>
      <c r="EK51" s="1" t="e">
        <f>AND(#REF!,"AAAAAF79/4w=")</f>
        <v>#REF!</v>
      </c>
      <c r="EL51" s="1" t="e">
        <f>AND(#REF!,"AAAAAF79/40=")</f>
        <v>#REF!</v>
      </c>
      <c r="EM51" s="1" t="e">
        <f>AND(#REF!,"AAAAAF79/44=")</f>
        <v>#REF!</v>
      </c>
      <c r="EN51" s="1" t="e">
        <f>AND(#REF!,"AAAAAF79/48=")</f>
        <v>#REF!</v>
      </c>
      <c r="EO51" s="1" t="e">
        <f>AND(#REF!,"AAAAAF79/5A=")</f>
        <v>#REF!</v>
      </c>
      <c r="EP51" s="1" t="e">
        <f>AND(#REF!,"AAAAAF79/5E=")</f>
        <v>#REF!</v>
      </c>
      <c r="EQ51" s="1" t="e">
        <f>AND(#REF!,"AAAAAF79/5I=")</f>
        <v>#REF!</v>
      </c>
      <c r="ER51" s="1" t="e">
        <f>AND(#REF!,"AAAAAF79/5M=")</f>
        <v>#REF!</v>
      </c>
      <c r="ES51" s="1" t="e">
        <f>AND(#REF!,"AAAAAF79/5Q=")</f>
        <v>#REF!</v>
      </c>
      <c r="ET51" s="1" t="e">
        <f>AND(#REF!,"AAAAAF79/5U=")</f>
        <v>#REF!</v>
      </c>
      <c r="EU51" s="1" t="e">
        <f>IF(#REF!,"AAAAAF79/5Y=",0)</f>
        <v>#REF!</v>
      </c>
      <c r="EV51" s="1" t="e">
        <f>AND(#REF!,"AAAAAF79/5c=")</f>
        <v>#REF!</v>
      </c>
      <c r="EW51" s="1" t="e">
        <f>AND(#REF!,"AAAAAF79/5g=")</f>
        <v>#REF!</v>
      </c>
      <c r="EX51" s="1" t="e">
        <f>AND(#REF!,"AAAAAF79/5k=")</f>
        <v>#REF!</v>
      </c>
      <c r="EY51" s="1" t="e">
        <f>AND(#REF!,"AAAAAF79/5o=")</f>
        <v>#REF!</v>
      </c>
      <c r="EZ51" s="1" t="e">
        <f>AND(#REF!,"AAAAAF79/5s=")</f>
        <v>#REF!</v>
      </c>
      <c r="FA51" s="1" t="e">
        <f>AND(#REF!,"AAAAAF79/5w=")</f>
        <v>#REF!</v>
      </c>
      <c r="FB51" s="1" t="e">
        <f>AND(#REF!,"AAAAAF79/50=")</f>
        <v>#REF!</v>
      </c>
      <c r="FC51" s="1" t="e">
        <f>AND(#REF!,"AAAAAF79/54=")</f>
        <v>#REF!</v>
      </c>
      <c r="FD51" s="1" t="e">
        <f>AND(#REF!,"AAAAAF79/58=")</f>
        <v>#REF!</v>
      </c>
      <c r="FE51" s="1" t="e">
        <f>AND(#REF!,"AAAAAF79/6A=")</f>
        <v>#REF!</v>
      </c>
      <c r="FF51" s="1" t="e">
        <f>AND(#REF!,"AAAAAF79/6E=")</f>
        <v>#REF!</v>
      </c>
      <c r="FG51" s="1" t="e">
        <f>AND(#REF!,"AAAAAF79/6I=")</f>
        <v>#REF!</v>
      </c>
      <c r="FH51" s="1" t="e">
        <f>AND(#REF!,"AAAAAF79/6M=")</f>
        <v>#REF!</v>
      </c>
      <c r="FI51" s="1" t="e">
        <f>AND(#REF!,"AAAAAF79/6Q=")</f>
        <v>#REF!</v>
      </c>
      <c r="FJ51" s="1" t="e">
        <f>AND(#REF!,"AAAAAF79/6U=")</f>
        <v>#REF!</v>
      </c>
      <c r="FK51" s="1" t="e">
        <f>AND(#REF!,"AAAAAF79/6Y=")</f>
        <v>#REF!</v>
      </c>
      <c r="FL51" s="1" t="e">
        <f>AND(#REF!,"AAAAAF79/6c=")</f>
        <v>#REF!</v>
      </c>
      <c r="FM51" s="1" t="e">
        <f>AND(#REF!,"AAAAAF79/6g=")</f>
        <v>#REF!</v>
      </c>
      <c r="FN51" s="1" t="e">
        <f>AND(#REF!,"AAAAAF79/6k=")</f>
        <v>#REF!</v>
      </c>
      <c r="FO51" s="1" t="e">
        <f>AND(#REF!,"AAAAAF79/6o=")</f>
        <v>#REF!</v>
      </c>
      <c r="FP51" s="1" t="e">
        <f>AND(#REF!,"AAAAAF79/6s=")</f>
        <v>#REF!</v>
      </c>
      <c r="FQ51" s="1" t="e">
        <f>AND(#REF!,"AAAAAF79/6w=")</f>
        <v>#REF!</v>
      </c>
      <c r="FR51" s="1" t="e">
        <f>AND(#REF!,"AAAAAF79/60=")</f>
        <v>#REF!</v>
      </c>
      <c r="FS51" s="1" t="e">
        <f>AND(#REF!,"AAAAAF79/64=")</f>
        <v>#REF!</v>
      </c>
      <c r="FT51" s="1" t="e">
        <f>AND(#REF!,"AAAAAF79/68=")</f>
        <v>#REF!</v>
      </c>
      <c r="FU51" s="1" t="e">
        <f>AND(#REF!,"AAAAAF79/7A=")</f>
        <v>#REF!</v>
      </c>
      <c r="FV51" s="1" t="e">
        <f>IF(#REF!,"AAAAAF79/7E=",0)</f>
        <v>#REF!</v>
      </c>
      <c r="FW51" s="1" t="e">
        <f>AND(#REF!,"AAAAAF79/7I=")</f>
        <v>#REF!</v>
      </c>
      <c r="FX51" s="1" t="e">
        <f>AND(#REF!,"AAAAAF79/7M=")</f>
        <v>#REF!</v>
      </c>
      <c r="FY51" s="1" t="e">
        <f>AND(#REF!,"AAAAAF79/7Q=")</f>
        <v>#REF!</v>
      </c>
      <c r="FZ51" s="1" t="e">
        <f>AND(#REF!,"AAAAAF79/7U=")</f>
        <v>#REF!</v>
      </c>
      <c r="GA51" s="1" t="e">
        <f>AND(#REF!,"AAAAAF79/7Y=")</f>
        <v>#REF!</v>
      </c>
      <c r="GB51" s="1" t="e">
        <f>AND(#REF!,"AAAAAF79/7c=")</f>
        <v>#REF!</v>
      </c>
      <c r="GC51" s="1" t="e">
        <f>AND(#REF!,"AAAAAF79/7g=")</f>
        <v>#REF!</v>
      </c>
      <c r="GD51" s="1" t="e">
        <f>AND(#REF!,"AAAAAF79/7k=")</f>
        <v>#REF!</v>
      </c>
      <c r="GE51" s="1" t="e">
        <f>AND(#REF!,"AAAAAF79/7o=")</f>
        <v>#REF!</v>
      </c>
      <c r="GF51" s="1" t="e">
        <f>AND(#REF!,"AAAAAF79/7s=")</f>
        <v>#REF!</v>
      </c>
      <c r="GG51" s="1" t="e">
        <f>AND(#REF!,"AAAAAF79/7w=")</f>
        <v>#REF!</v>
      </c>
      <c r="GH51" s="1" t="e">
        <f>AND(#REF!,"AAAAAF79/70=")</f>
        <v>#REF!</v>
      </c>
      <c r="GI51" s="1" t="e">
        <f>AND(#REF!,"AAAAAF79/74=")</f>
        <v>#REF!</v>
      </c>
      <c r="GJ51" s="1" t="e">
        <f>AND(#REF!,"AAAAAF79/78=")</f>
        <v>#REF!</v>
      </c>
      <c r="GK51" s="1" t="e">
        <f>AND(#REF!,"AAAAAF79/8A=")</f>
        <v>#REF!</v>
      </c>
      <c r="GL51" s="1" t="e">
        <f>AND(#REF!,"AAAAAF79/8E=")</f>
        <v>#REF!</v>
      </c>
      <c r="GM51" s="1" t="e">
        <f>AND(#REF!,"AAAAAF79/8I=")</f>
        <v>#REF!</v>
      </c>
      <c r="GN51" s="1" t="e">
        <f>AND(#REF!,"AAAAAF79/8M=")</f>
        <v>#REF!</v>
      </c>
      <c r="GO51" s="1" t="e">
        <f>AND(#REF!,"AAAAAF79/8Q=")</f>
        <v>#REF!</v>
      </c>
      <c r="GP51" s="1" t="e">
        <f>AND(#REF!,"AAAAAF79/8U=")</f>
        <v>#REF!</v>
      </c>
      <c r="GQ51" s="1" t="e">
        <f>AND(#REF!,"AAAAAF79/8Y=")</f>
        <v>#REF!</v>
      </c>
      <c r="GR51" s="1" t="e">
        <f>AND(#REF!,"AAAAAF79/8c=")</f>
        <v>#REF!</v>
      </c>
      <c r="GS51" s="1" t="e">
        <f>AND(#REF!,"AAAAAF79/8g=")</f>
        <v>#REF!</v>
      </c>
      <c r="GT51" s="1" t="e">
        <f>AND(#REF!,"AAAAAF79/8k=")</f>
        <v>#REF!</v>
      </c>
      <c r="GU51" s="1" t="e">
        <f>AND(#REF!,"AAAAAF79/8o=")</f>
        <v>#REF!</v>
      </c>
      <c r="GV51" s="1" t="e">
        <f>AND(#REF!,"AAAAAF79/8s=")</f>
        <v>#REF!</v>
      </c>
      <c r="GW51" s="1" t="e">
        <f>IF(#REF!,"AAAAAF79/8w=",0)</f>
        <v>#REF!</v>
      </c>
      <c r="GX51" s="1" t="e">
        <f>AND(#REF!,"AAAAAF79/80=")</f>
        <v>#REF!</v>
      </c>
      <c r="GY51" s="1" t="e">
        <f>AND(#REF!,"AAAAAF79/84=")</f>
        <v>#REF!</v>
      </c>
      <c r="GZ51" s="1" t="e">
        <f>AND(#REF!,"AAAAAF79/88=")</f>
        <v>#REF!</v>
      </c>
      <c r="HA51" s="1" t="e">
        <f>AND(#REF!,"AAAAAF79/9A=")</f>
        <v>#REF!</v>
      </c>
      <c r="HB51" s="1" t="e">
        <f>AND(#REF!,"AAAAAF79/9E=")</f>
        <v>#REF!</v>
      </c>
      <c r="HC51" s="1" t="e">
        <f>AND(#REF!,"AAAAAF79/9I=")</f>
        <v>#REF!</v>
      </c>
      <c r="HD51" s="1" t="e">
        <f>AND(#REF!,"AAAAAF79/9M=")</f>
        <v>#REF!</v>
      </c>
      <c r="HE51" s="1" t="e">
        <f>AND(#REF!,"AAAAAF79/9Q=")</f>
        <v>#REF!</v>
      </c>
      <c r="HF51" s="1" t="e">
        <f>AND(#REF!,"AAAAAF79/9U=")</f>
        <v>#REF!</v>
      </c>
      <c r="HG51" s="1" t="e">
        <f>AND(#REF!,"AAAAAF79/9Y=")</f>
        <v>#REF!</v>
      </c>
      <c r="HH51" s="1" t="e">
        <f>AND(#REF!,"AAAAAF79/9c=")</f>
        <v>#REF!</v>
      </c>
      <c r="HI51" s="1" t="e">
        <f>AND(#REF!,"AAAAAF79/9g=")</f>
        <v>#REF!</v>
      </c>
      <c r="HJ51" s="1" t="e">
        <f>AND(#REF!,"AAAAAF79/9k=")</f>
        <v>#REF!</v>
      </c>
      <c r="HK51" s="1" t="e">
        <f>AND(#REF!,"AAAAAF79/9o=")</f>
        <v>#REF!</v>
      </c>
      <c r="HL51" s="1" t="e">
        <f>AND(#REF!,"AAAAAF79/9s=")</f>
        <v>#REF!</v>
      </c>
      <c r="HM51" s="1" t="e">
        <f>AND(#REF!,"AAAAAF79/9w=")</f>
        <v>#REF!</v>
      </c>
      <c r="HN51" s="1" t="e">
        <f>AND(#REF!,"AAAAAF79/90=")</f>
        <v>#REF!</v>
      </c>
      <c r="HO51" s="1" t="e">
        <f>AND(#REF!,"AAAAAF79/94=")</f>
        <v>#REF!</v>
      </c>
      <c r="HP51" s="1" t="e">
        <f>AND(#REF!,"AAAAAF79/98=")</f>
        <v>#REF!</v>
      </c>
      <c r="HQ51" s="1" t="e">
        <f>AND(#REF!,"AAAAAF79/+A=")</f>
        <v>#REF!</v>
      </c>
      <c r="HR51" s="1" t="e">
        <f>AND(#REF!,"AAAAAF79/+E=")</f>
        <v>#REF!</v>
      </c>
      <c r="HS51" s="1" t="e">
        <f>AND(#REF!,"AAAAAF79/+I=")</f>
        <v>#REF!</v>
      </c>
      <c r="HT51" s="1" t="e">
        <f>AND(#REF!,"AAAAAF79/+M=")</f>
        <v>#REF!</v>
      </c>
      <c r="HU51" s="1" t="e">
        <f>AND(#REF!,"AAAAAF79/+Q=")</f>
        <v>#REF!</v>
      </c>
      <c r="HV51" s="1" t="e">
        <f>AND(#REF!,"AAAAAF79/+U=")</f>
        <v>#REF!</v>
      </c>
      <c r="HW51" s="1" t="e">
        <f>AND(#REF!,"AAAAAF79/+Y=")</f>
        <v>#REF!</v>
      </c>
      <c r="HX51" s="1" t="e">
        <f>IF(#REF!,"AAAAAF79/+c=",0)</f>
        <v>#REF!</v>
      </c>
      <c r="HY51" s="1" t="e">
        <f>AND(#REF!,"AAAAAF79/+g=")</f>
        <v>#REF!</v>
      </c>
      <c r="HZ51" s="1" t="e">
        <f>AND(#REF!,"AAAAAF79/+k=")</f>
        <v>#REF!</v>
      </c>
      <c r="IA51" s="1" t="e">
        <f>AND(#REF!,"AAAAAF79/+o=")</f>
        <v>#REF!</v>
      </c>
      <c r="IB51" s="1" t="e">
        <f>AND(#REF!,"AAAAAF79/+s=")</f>
        <v>#REF!</v>
      </c>
      <c r="IC51" s="1" t="e">
        <f>AND(#REF!,"AAAAAF79/+w=")</f>
        <v>#REF!</v>
      </c>
      <c r="ID51" s="1" t="e">
        <f>AND(#REF!,"AAAAAF79/+0=")</f>
        <v>#REF!</v>
      </c>
      <c r="IE51" s="1" t="e">
        <f>AND(#REF!,"AAAAAF79/+4=")</f>
        <v>#REF!</v>
      </c>
      <c r="IF51" s="1" t="e">
        <f>AND(#REF!,"AAAAAF79/+8=")</f>
        <v>#REF!</v>
      </c>
      <c r="IG51" s="1" t="e">
        <f>AND(#REF!,"AAAAAF79//A=")</f>
        <v>#REF!</v>
      </c>
      <c r="IH51" s="1" t="e">
        <f>AND(#REF!,"AAAAAF79//E=")</f>
        <v>#REF!</v>
      </c>
      <c r="II51" s="1" t="e">
        <f>AND(#REF!,"AAAAAF79//I=")</f>
        <v>#REF!</v>
      </c>
      <c r="IJ51" s="1" t="e">
        <f>AND(#REF!,"AAAAAF79//M=")</f>
        <v>#REF!</v>
      </c>
      <c r="IK51" s="1" t="e">
        <f>AND(#REF!,"AAAAAF79//Q=")</f>
        <v>#REF!</v>
      </c>
      <c r="IL51" s="1" t="e">
        <f>AND(#REF!,"AAAAAF79//U=")</f>
        <v>#REF!</v>
      </c>
      <c r="IM51" s="1" t="e">
        <f>AND(#REF!,"AAAAAF79//Y=")</f>
        <v>#REF!</v>
      </c>
      <c r="IN51" s="1" t="e">
        <f>AND(#REF!,"AAAAAF79//c=")</f>
        <v>#REF!</v>
      </c>
      <c r="IO51" s="1" t="e">
        <f>AND(#REF!,"AAAAAF79//g=")</f>
        <v>#REF!</v>
      </c>
      <c r="IP51" s="1" t="e">
        <f>AND(#REF!,"AAAAAF79//k=")</f>
        <v>#REF!</v>
      </c>
      <c r="IQ51" s="1" t="e">
        <f>AND(#REF!,"AAAAAF79//o=")</f>
        <v>#REF!</v>
      </c>
      <c r="IR51" s="1" t="e">
        <f>AND(#REF!,"AAAAAF79//s=")</f>
        <v>#REF!</v>
      </c>
      <c r="IS51" s="1" t="e">
        <f>AND(#REF!,"AAAAAF79//w=")</f>
        <v>#REF!</v>
      </c>
      <c r="IT51" s="1" t="e">
        <f>AND(#REF!,"AAAAAF79//0=")</f>
        <v>#REF!</v>
      </c>
      <c r="IU51" s="1" t="e">
        <f>AND(#REF!,"AAAAAF79//4=")</f>
        <v>#REF!</v>
      </c>
      <c r="IV51" s="1" t="e">
        <f>AND(#REF!,"AAAAAF79//8=")</f>
        <v>#REF!</v>
      </c>
    </row>
    <row r="52" spans="1:256" ht="15" customHeight="1" x14ac:dyDescent="0.2">
      <c r="A52" s="1" t="e">
        <f>AND(#REF!,"AAAAAH7ifwA=")</f>
        <v>#REF!</v>
      </c>
      <c r="B52" s="1" t="e">
        <f>AND(#REF!,"AAAAAH7ifwE=")</f>
        <v>#REF!</v>
      </c>
      <c r="C52" s="1" t="e">
        <f>IF(#REF!,"AAAAAH7ifwI=",0)</f>
        <v>#REF!</v>
      </c>
      <c r="D52" s="1" t="e">
        <f>AND(#REF!,"AAAAAH7ifwM=")</f>
        <v>#REF!</v>
      </c>
      <c r="E52" s="1" t="e">
        <f>AND(#REF!,"AAAAAH7ifwQ=")</f>
        <v>#REF!</v>
      </c>
      <c r="F52" s="1" t="e">
        <f>AND(#REF!,"AAAAAH7ifwU=")</f>
        <v>#REF!</v>
      </c>
      <c r="G52" s="1" t="e">
        <f>AND(#REF!,"AAAAAH7ifwY=")</f>
        <v>#REF!</v>
      </c>
      <c r="H52" s="1" t="e">
        <f>AND(#REF!,"AAAAAH7ifwc=")</f>
        <v>#REF!</v>
      </c>
      <c r="I52" s="1" t="e">
        <f>AND(#REF!,"AAAAAH7ifwg=")</f>
        <v>#REF!</v>
      </c>
      <c r="J52" s="1" t="e">
        <f>AND(#REF!,"AAAAAH7ifwk=")</f>
        <v>#REF!</v>
      </c>
      <c r="K52" s="1" t="e">
        <f>AND(#REF!,"AAAAAH7ifwo=")</f>
        <v>#REF!</v>
      </c>
      <c r="L52" s="1" t="e">
        <f>AND(#REF!,"AAAAAH7ifws=")</f>
        <v>#REF!</v>
      </c>
      <c r="M52" s="1" t="e">
        <f>AND(#REF!,"AAAAAH7ifww=")</f>
        <v>#REF!</v>
      </c>
      <c r="N52" s="1" t="e">
        <f>AND(#REF!,"AAAAAH7ifw0=")</f>
        <v>#REF!</v>
      </c>
      <c r="O52" s="1" t="e">
        <f>AND(#REF!,"AAAAAH7ifw4=")</f>
        <v>#REF!</v>
      </c>
      <c r="P52" s="1" t="e">
        <f>AND(#REF!,"AAAAAH7ifw8=")</f>
        <v>#REF!</v>
      </c>
      <c r="Q52" s="1" t="e">
        <f>AND(#REF!,"AAAAAH7ifxA=")</f>
        <v>#REF!</v>
      </c>
      <c r="R52" s="1" t="e">
        <f>AND(#REF!,"AAAAAH7ifxE=")</f>
        <v>#REF!</v>
      </c>
      <c r="S52" s="1" t="e">
        <f>AND(#REF!,"AAAAAH7ifxI=")</f>
        <v>#REF!</v>
      </c>
      <c r="T52" s="1" t="e">
        <f>AND(#REF!,"AAAAAH7ifxM=")</f>
        <v>#REF!</v>
      </c>
      <c r="U52" s="1" t="e">
        <f>AND(#REF!,"AAAAAH7ifxQ=")</f>
        <v>#REF!</v>
      </c>
      <c r="V52" s="1" t="e">
        <f>AND(#REF!,"AAAAAH7ifxU=")</f>
        <v>#REF!</v>
      </c>
      <c r="W52" s="1" t="e">
        <f>AND(#REF!,"AAAAAH7ifxY=")</f>
        <v>#REF!</v>
      </c>
      <c r="X52" s="1" t="e">
        <f>AND(#REF!,"AAAAAH7ifxc=")</f>
        <v>#REF!</v>
      </c>
      <c r="Y52" s="1" t="e">
        <f>AND(#REF!,"AAAAAH7ifxg=")</f>
        <v>#REF!</v>
      </c>
      <c r="Z52" s="1" t="e">
        <f>AND(#REF!,"AAAAAH7ifxk=")</f>
        <v>#REF!</v>
      </c>
      <c r="AA52" s="1" t="e">
        <f>AND(#REF!,"AAAAAH7ifxo=")</f>
        <v>#REF!</v>
      </c>
      <c r="AB52" s="1" t="e">
        <f>AND(#REF!,"AAAAAH7ifxs=")</f>
        <v>#REF!</v>
      </c>
      <c r="AC52" s="1" t="e">
        <f>AND(#REF!,"AAAAAH7ifxw=")</f>
        <v>#REF!</v>
      </c>
      <c r="AD52" s="1" t="e">
        <f>IF(#REF!,"AAAAAH7ifx0=",0)</f>
        <v>#REF!</v>
      </c>
      <c r="AE52" s="1" t="e">
        <f>IF(#REF!,"AAAAAH7ifx4=",0)</f>
        <v>#REF!</v>
      </c>
      <c r="AF52" s="1" t="e">
        <f>IF(#REF!,"AAAAAH7ifx8=",0)</f>
        <v>#REF!</v>
      </c>
      <c r="AG52" s="1" t="e">
        <f>IF(#REF!,"AAAAAH7ifyA=",0)</f>
        <v>#REF!</v>
      </c>
      <c r="AH52" s="1" t="e">
        <f>IF(#REF!,"AAAAAH7ifyE=",0)</f>
        <v>#REF!</v>
      </c>
      <c r="AI52" s="1" t="e">
        <f>IF(#REF!,"AAAAAH7ifyI=",0)</f>
        <v>#REF!</v>
      </c>
      <c r="AJ52" s="1" t="e">
        <f>IF(#REF!,"AAAAAH7ifyM=",0)</f>
        <v>#REF!</v>
      </c>
      <c r="AK52" s="1" t="e">
        <f>IF(#REF!,"AAAAAH7ifyQ=",0)</f>
        <v>#REF!</v>
      </c>
      <c r="AL52" s="1" t="e">
        <f>IF(#REF!,"AAAAAH7ifyU=",0)</f>
        <v>#REF!</v>
      </c>
      <c r="AM52" s="1" t="e">
        <f>IF(#REF!,"AAAAAH7ifyY=",0)</f>
        <v>#REF!</v>
      </c>
      <c r="AN52" s="1" t="e">
        <f>IF(#REF!,"AAAAAH7ifyc=",0)</f>
        <v>#REF!</v>
      </c>
      <c r="AO52" s="1" t="e">
        <f>IF(#REF!,"AAAAAH7ifyg=",0)</f>
        <v>#REF!</v>
      </c>
      <c r="AP52" s="1" t="e">
        <f>IF(#REF!,"AAAAAH7ifyk=",0)</f>
        <v>#REF!</v>
      </c>
      <c r="AQ52" s="1" t="e">
        <f>IF(#REF!,"AAAAAH7ifyo=",0)</f>
        <v>#REF!</v>
      </c>
      <c r="AR52" s="1" t="e">
        <f>IF(#REF!,"AAAAAH7ifys=",0)</f>
        <v>#REF!</v>
      </c>
      <c r="AS52" s="1" t="e">
        <f>IF(#REF!,"AAAAAH7ifyw=",0)</f>
        <v>#REF!</v>
      </c>
      <c r="AT52" s="1" t="e">
        <f>IF(#REF!,"AAAAAH7ify0=",0)</f>
        <v>#REF!</v>
      </c>
      <c r="AU52" s="1" t="e">
        <f>IF(#REF!,"AAAAAH7ify4=",0)</f>
        <v>#REF!</v>
      </c>
      <c r="AV52" s="1" t="e">
        <f>IF(#REF!,"AAAAAH7ify8=",0)</f>
        <v>#REF!</v>
      </c>
      <c r="AW52" s="1" t="e">
        <f>IF(#REF!,"AAAAAH7ifzA=",0)</f>
        <v>#REF!</v>
      </c>
      <c r="AX52" s="1" t="e">
        <f>IF(#REF!,"AAAAAH7ifzE=",0)</f>
        <v>#REF!</v>
      </c>
      <c r="AY52" s="1" t="e">
        <f>IF(#REF!,"AAAAAH7ifzI=",0)</f>
        <v>#REF!</v>
      </c>
      <c r="AZ52" s="1" t="e">
        <f>IF(#REF!,"AAAAAH7ifzM=",0)</f>
        <v>#REF!</v>
      </c>
      <c r="BA52" s="1" t="e">
        <f>IF(#REF!,"AAAAAH7ifzQ=",0)</f>
        <v>#REF!</v>
      </c>
      <c r="BB52" s="1" t="e">
        <f>IF(#REF!,"AAAAAH7ifzU=",0)</f>
        <v>#REF!</v>
      </c>
      <c r="BC52" s="1" t="e">
        <f>IF(#REF!,"AAAAAH7ifzY=",0)</f>
        <v>#REF!</v>
      </c>
      <c r="BD52" s="1" t="e">
        <f>IF(#REF!,"AAAAAH7ifzc=",0)</f>
        <v>#REF!</v>
      </c>
      <c r="BE52" s="1" t="e">
        <f>IF(#REF!,"AAAAAH7ifzg=",0)</f>
        <v>#REF!</v>
      </c>
      <c r="BF52" s="1" t="e">
        <f>IF(#REF!,"AAAAAH7ifzk=",0)</f>
        <v>#REF!</v>
      </c>
      <c r="BG52" s="1" t="e">
        <f>IF(#REF!,"AAAAAH7ifzo=",0)</f>
        <v>#REF!</v>
      </c>
      <c r="BH52" s="1" t="e">
        <f>IF(#REF!,"AAAAAH7ifzs=",0)</f>
        <v>#REF!</v>
      </c>
      <c r="BI52" s="1" t="e">
        <f>IF(#REF!,"AAAAAH7ifzw=",0)</f>
        <v>#REF!</v>
      </c>
      <c r="BJ52" s="1" t="e">
        <f>IF(#REF!,"AAAAAH7ifz0=",0)</f>
        <v>#REF!</v>
      </c>
      <c r="BK52" s="1" t="e">
        <f>IF(#REF!,"AAAAAH7ifz4=",0)</f>
        <v>#REF!</v>
      </c>
      <c r="BL52" s="1" t="e">
        <f>IF(#REF!,"AAAAAH7ifz8=",0)</f>
        <v>#REF!</v>
      </c>
      <c r="BM52" s="1" t="e">
        <f>IF(#REF!,"AAAAAH7if0A=",0)</f>
        <v>#REF!</v>
      </c>
      <c r="BN52" s="1" t="e">
        <f>IF(#REF!,"AAAAAH7if0E=",0)</f>
        <v>#REF!</v>
      </c>
      <c r="BO52" s="1" t="e">
        <f>IF(#REF!,"AAAAAH7if0I=",0)</f>
        <v>#REF!</v>
      </c>
      <c r="BP52" s="1" t="e">
        <f>IF(#REF!,"AAAAAH7if0M=",0)</f>
        <v>#REF!</v>
      </c>
      <c r="BQ52" s="1" t="e">
        <f>IF(#REF!,"AAAAAH7if0Q=",0)</f>
        <v>#REF!</v>
      </c>
      <c r="BR52" s="1" t="e">
        <f>IF(#REF!,"AAAAAH7if0U=",0)</f>
        <v>#REF!</v>
      </c>
      <c r="BS52" s="1" t="e">
        <f>IF(#REF!,"AAAAAH7if0Y=",0)</f>
        <v>#REF!</v>
      </c>
      <c r="BT52" s="1" t="e">
        <f>IF(#REF!,"AAAAAH7if0c=",0)</f>
        <v>#REF!</v>
      </c>
      <c r="BU52" s="1" t="e">
        <f>IF(#REF!,"AAAAAH7if0g=",0)</f>
        <v>#REF!</v>
      </c>
      <c r="BV52" s="1" t="e">
        <f>IF(#REF!,"AAAAAH7if0k=",0)</f>
        <v>#REF!</v>
      </c>
      <c r="BW52" s="1" t="e">
        <f>IF(#REF!,"AAAAAH7if0o=",0)</f>
        <v>#REF!</v>
      </c>
      <c r="BX52" s="1" t="e">
        <f>IF(#REF!,"AAAAAH7if0s=",0)</f>
        <v>#REF!</v>
      </c>
      <c r="BY52" s="1" t="e">
        <f>IF(#REF!,"AAAAAH7if0w=",0)</f>
        <v>#REF!</v>
      </c>
      <c r="BZ52" s="1" t="e">
        <f>IF(#REF!,"AAAAAH7if00=",0)</f>
        <v>#REF!</v>
      </c>
      <c r="CA52" s="1" t="e">
        <f>IF(#REF!,"AAAAAH7if04=",0)</f>
        <v>#REF!</v>
      </c>
      <c r="CB52" s="1" t="e">
        <f>IF(#REF!,"AAAAAH7if08=",0)</f>
        <v>#REF!</v>
      </c>
      <c r="CC52" s="1" t="e">
        <f>IF(#REF!,"AAAAAH7if1A=",0)</f>
        <v>#REF!</v>
      </c>
      <c r="CD52" s="1" t="e">
        <f>IF(#REF!,"AAAAAH7if1E=",0)</f>
        <v>#REF!</v>
      </c>
      <c r="CE52" s="1" t="e">
        <f>IF(#REF!,"AAAAAH7if1I=",0)</f>
        <v>#REF!</v>
      </c>
      <c r="CF52" s="1" t="e">
        <f>IF(#REF!,"AAAAAH7if1M=",0)</f>
        <v>#REF!</v>
      </c>
      <c r="CG52" s="1" t="e">
        <f>IF(#REF!,"AAAAAH7if1Q=",0)</f>
        <v>#REF!</v>
      </c>
      <c r="CH52" s="1" t="e">
        <f>IF(#REF!,"AAAAAH7if1U=",0)</f>
        <v>#REF!</v>
      </c>
      <c r="CI52" s="1" t="e">
        <f>IF(#REF!,"AAAAAH7if1Y=",0)</f>
        <v>#REF!</v>
      </c>
      <c r="CJ52" s="1" t="e">
        <f>IF(#REF!,"AAAAAH7if1c=",0)</f>
        <v>#REF!</v>
      </c>
      <c r="CK52" s="1" t="e">
        <f>AND(#REF!,"AAAAAH7if1g=")</f>
        <v>#REF!</v>
      </c>
      <c r="CL52" s="1" t="e">
        <f>AND(#REF!,"AAAAAH7if1k=")</f>
        <v>#REF!</v>
      </c>
      <c r="CM52" s="1" t="e">
        <f>AND(#REF!,"AAAAAH7if1o=")</f>
        <v>#REF!</v>
      </c>
      <c r="CN52" s="1" t="e">
        <f>AND(#REF!,"AAAAAH7if1s=")</f>
        <v>#REF!</v>
      </c>
      <c r="CO52" s="1" t="e">
        <f>AND(#REF!,"AAAAAH7if1w=")</f>
        <v>#REF!</v>
      </c>
      <c r="CP52" s="1" t="e">
        <f>AND(#REF!,"AAAAAH7if10=")</f>
        <v>#REF!</v>
      </c>
      <c r="CQ52" s="1" t="e">
        <f>AND(#REF!,"AAAAAH7if14=")</f>
        <v>#REF!</v>
      </c>
      <c r="CR52" s="1" t="e">
        <f>AND(#REF!,"AAAAAH7if18=")</f>
        <v>#REF!</v>
      </c>
      <c r="CS52" s="1" t="e">
        <f>AND(#REF!,"AAAAAH7if2A=")</f>
        <v>#REF!</v>
      </c>
      <c r="CT52" s="1" t="e">
        <f>AND(#REF!,"AAAAAH7if2E=")</f>
        <v>#REF!</v>
      </c>
      <c r="CU52" s="1" t="e">
        <f>AND(#REF!,"AAAAAH7if2I=")</f>
        <v>#REF!</v>
      </c>
      <c r="CV52" s="1" t="e">
        <f>AND(#REF!,"AAAAAH7if2M=")</f>
        <v>#REF!</v>
      </c>
      <c r="CW52" s="1" t="e">
        <f>AND(#REF!,"AAAAAH7if2Q=")</f>
        <v>#REF!</v>
      </c>
      <c r="CX52" s="1" t="e">
        <f>AND(#REF!,"AAAAAH7if2U=")</f>
        <v>#REF!</v>
      </c>
      <c r="CY52" s="1" t="e">
        <f>AND(#REF!,"AAAAAH7if2Y=")</f>
        <v>#REF!</v>
      </c>
      <c r="CZ52" s="1" t="e">
        <f>AND(#REF!,"AAAAAH7if2c=")</f>
        <v>#REF!</v>
      </c>
      <c r="DA52" s="1" t="e">
        <f>AND(#REF!,"AAAAAH7if2g=")</f>
        <v>#REF!</v>
      </c>
      <c r="DB52" s="1" t="e">
        <f>AND(#REF!,"AAAAAH7if2k=")</f>
        <v>#REF!</v>
      </c>
      <c r="DC52" s="1" t="e">
        <f>AND(#REF!,"AAAAAH7if2o=")</f>
        <v>#REF!</v>
      </c>
      <c r="DD52" s="1" t="e">
        <f>AND(#REF!,"AAAAAH7if2s=")</f>
        <v>#REF!</v>
      </c>
      <c r="DE52" s="1" t="e">
        <f>AND(#REF!,"AAAAAH7if2w=")</f>
        <v>#REF!</v>
      </c>
      <c r="DF52" s="1" t="e">
        <f>AND(#REF!,"AAAAAH7if20=")</f>
        <v>#REF!</v>
      </c>
      <c r="DG52" s="1" t="e">
        <f>AND(#REF!,"AAAAAH7if24=")</f>
        <v>#REF!</v>
      </c>
      <c r="DH52" s="1" t="e">
        <f>AND(#REF!,"AAAAAH7if28=")</f>
        <v>#REF!</v>
      </c>
      <c r="DI52" s="1" t="e">
        <f>AND(#REF!,"AAAAAH7if3A=")</f>
        <v>#REF!</v>
      </c>
      <c r="DJ52" s="1" t="e">
        <f>IF(#REF!,"AAAAAH7if3E=",0)</f>
        <v>#REF!</v>
      </c>
      <c r="DK52" s="1" t="e">
        <f>AND(#REF!,"AAAAAH7if3I=")</f>
        <v>#REF!</v>
      </c>
      <c r="DL52" s="1" t="e">
        <f>AND(#REF!,"AAAAAH7if3M=")</f>
        <v>#REF!</v>
      </c>
      <c r="DM52" s="1" t="e">
        <f>AND(#REF!,"AAAAAH7if3Q=")</f>
        <v>#REF!</v>
      </c>
      <c r="DN52" s="1" t="e">
        <f>AND(#REF!,"AAAAAH7if3U=")</f>
        <v>#REF!</v>
      </c>
      <c r="DO52" s="1" t="e">
        <f>AND(#REF!,"AAAAAH7if3Y=")</f>
        <v>#REF!</v>
      </c>
      <c r="DP52" s="1" t="e">
        <f>AND(#REF!,"AAAAAH7if3c=")</f>
        <v>#REF!</v>
      </c>
      <c r="DQ52" s="1" t="e">
        <f>AND(#REF!,"AAAAAH7if3g=")</f>
        <v>#REF!</v>
      </c>
      <c r="DR52" s="1" t="e">
        <f>AND(#REF!,"AAAAAH7if3k=")</f>
        <v>#REF!</v>
      </c>
      <c r="DS52" s="1" t="e">
        <f>AND(#REF!,"AAAAAH7if3o=")</f>
        <v>#REF!</v>
      </c>
      <c r="DT52" s="1" t="e">
        <f>AND(#REF!,"AAAAAH7if3s=")</f>
        <v>#REF!</v>
      </c>
      <c r="DU52" s="1" t="e">
        <f>AND(#REF!,"AAAAAH7if3w=")</f>
        <v>#REF!</v>
      </c>
      <c r="DV52" s="1" t="e">
        <f>AND(#REF!,"AAAAAH7if30=")</f>
        <v>#REF!</v>
      </c>
      <c r="DW52" s="1" t="e">
        <f>AND(#REF!,"AAAAAH7if34=")</f>
        <v>#REF!</v>
      </c>
      <c r="DX52" s="1" t="e">
        <f>AND(#REF!,"AAAAAH7if38=")</f>
        <v>#REF!</v>
      </c>
      <c r="DY52" s="1" t="e">
        <f>AND(#REF!,"AAAAAH7if4A=")</f>
        <v>#REF!</v>
      </c>
      <c r="DZ52" s="1" t="e">
        <f>AND(#REF!,"AAAAAH7if4E=")</f>
        <v>#REF!</v>
      </c>
      <c r="EA52" s="1" t="e">
        <f>AND(#REF!,"AAAAAH7if4I=")</f>
        <v>#REF!</v>
      </c>
      <c r="EB52" s="1" t="e">
        <f>AND(#REF!,"AAAAAH7if4M=")</f>
        <v>#REF!</v>
      </c>
      <c r="EC52" s="1" t="e">
        <f>AND(#REF!,"AAAAAH7if4Q=")</f>
        <v>#REF!</v>
      </c>
      <c r="ED52" s="1" t="e">
        <f>AND(#REF!,"AAAAAH7if4U=")</f>
        <v>#REF!</v>
      </c>
      <c r="EE52" s="1" t="e">
        <f>AND(#REF!,"AAAAAH7if4Y=")</f>
        <v>#REF!</v>
      </c>
      <c r="EF52" s="1" t="e">
        <f>AND(#REF!,"AAAAAH7if4c=")</f>
        <v>#REF!</v>
      </c>
      <c r="EG52" s="1" t="e">
        <f>AND(#REF!,"AAAAAH7if4g=")</f>
        <v>#REF!</v>
      </c>
      <c r="EH52" s="1" t="e">
        <f>AND(#REF!,"AAAAAH7if4k=")</f>
        <v>#REF!</v>
      </c>
      <c r="EI52" s="1" t="e">
        <f>AND(#REF!,"AAAAAH7if4o=")</f>
        <v>#REF!</v>
      </c>
      <c r="EJ52" s="1" t="e">
        <f>IF(#REF!,"AAAAAH7if4s=",0)</f>
        <v>#REF!</v>
      </c>
      <c r="EK52" s="1" t="e">
        <f>AND(#REF!,"AAAAAH7if4w=")</f>
        <v>#REF!</v>
      </c>
      <c r="EL52" s="1" t="e">
        <f>AND(#REF!,"AAAAAH7if40=")</f>
        <v>#REF!</v>
      </c>
      <c r="EM52" s="1" t="e">
        <f>AND(#REF!,"AAAAAH7if44=")</f>
        <v>#REF!</v>
      </c>
      <c r="EN52" s="1" t="e">
        <f>AND(#REF!,"AAAAAH7if48=")</f>
        <v>#REF!</v>
      </c>
      <c r="EO52" s="1" t="e">
        <f>AND(#REF!,"AAAAAH7if5A=")</f>
        <v>#REF!</v>
      </c>
      <c r="EP52" s="1" t="e">
        <f>AND(#REF!,"AAAAAH7if5E=")</f>
        <v>#REF!</v>
      </c>
      <c r="EQ52" s="1" t="e">
        <f>AND(#REF!,"AAAAAH7if5I=")</f>
        <v>#REF!</v>
      </c>
      <c r="ER52" s="1" t="e">
        <f>AND(#REF!,"AAAAAH7if5M=")</f>
        <v>#REF!</v>
      </c>
      <c r="ES52" s="1" t="e">
        <f>AND(#REF!,"AAAAAH7if5Q=")</f>
        <v>#REF!</v>
      </c>
      <c r="ET52" s="1" t="e">
        <f>AND(#REF!,"AAAAAH7if5U=")</f>
        <v>#REF!</v>
      </c>
      <c r="EU52" s="1" t="e">
        <f>AND(#REF!,"AAAAAH7if5Y=")</f>
        <v>#REF!</v>
      </c>
      <c r="EV52" s="1" t="e">
        <f>AND(#REF!,"AAAAAH7if5c=")</f>
        <v>#REF!</v>
      </c>
      <c r="EW52" s="1" t="e">
        <f>AND(#REF!,"AAAAAH7if5g=")</f>
        <v>#REF!</v>
      </c>
      <c r="EX52" s="1" t="e">
        <f>AND(#REF!,"AAAAAH7if5k=")</f>
        <v>#REF!</v>
      </c>
      <c r="EY52" s="1" t="e">
        <f>AND(#REF!,"AAAAAH7if5o=")</f>
        <v>#REF!</v>
      </c>
      <c r="EZ52" s="1" t="e">
        <f>AND(#REF!,"AAAAAH7if5s=")</f>
        <v>#REF!</v>
      </c>
      <c r="FA52" s="1" t="e">
        <f>AND(#REF!,"AAAAAH7if5w=")</f>
        <v>#REF!</v>
      </c>
      <c r="FB52" s="1" t="e">
        <f>AND(#REF!,"AAAAAH7if50=")</f>
        <v>#REF!</v>
      </c>
      <c r="FC52" s="1" t="e">
        <f>AND(#REF!,"AAAAAH7if54=")</f>
        <v>#REF!</v>
      </c>
      <c r="FD52" s="1" t="e">
        <f>AND(#REF!,"AAAAAH7if58=")</f>
        <v>#REF!</v>
      </c>
      <c r="FE52" s="1" t="e">
        <f>AND(#REF!,"AAAAAH7if6A=")</f>
        <v>#REF!</v>
      </c>
      <c r="FF52" s="1" t="e">
        <f>AND(#REF!,"AAAAAH7if6E=")</f>
        <v>#REF!</v>
      </c>
      <c r="FG52" s="1" t="e">
        <f>AND(#REF!,"AAAAAH7if6I=")</f>
        <v>#REF!</v>
      </c>
      <c r="FH52" s="1" t="e">
        <f>AND(#REF!,"AAAAAH7if6M=")</f>
        <v>#REF!</v>
      </c>
      <c r="FI52" s="1" t="e">
        <f>AND(#REF!,"AAAAAH7if6Q=")</f>
        <v>#REF!</v>
      </c>
      <c r="FJ52" s="1" t="e">
        <f>IF(#REF!,"AAAAAH7if6U=",0)</f>
        <v>#REF!</v>
      </c>
      <c r="FK52" s="1" t="e">
        <f>AND(#REF!,"AAAAAH7if6Y=")</f>
        <v>#REF!</v>
      </c>
      <c r="FL52" s="1" t="e">
        <f>AND(#REF!,"AAAAAH7if6c=")</f>
        <v>#REF!</v>
      </c>
      <c r="FM52" s="1" t="e">
        <f>AND(#REF!,"AAAAAH7if6g=")</f>
        <v>#REF!</v>
      </c>
      <c r="FN52" s="1" t="e">
        <f>AND(#REF!,"AAAAAH7if6k=")</f>
        <v>#REF!</v>
      </c>
      <c r="FO52" s="1" t="e">
        <f>AND(#REF!,"AAAAAH7if6o=")</f>
        <v>#REF!</v>
      </c>
      <c r="FP52" s="1" t="e">
        <f>AND(#REF!,"AAAAAH7if6s=")</f>
        <v>#REF!</v>
      </c>
      <c r="FQ52" s="1" t="e">
        <f>AND(#REF!,"AAAAAH7if6w=")</f>
        <v>#REF!</v>
      </c>
      <c r="FR52" s="1" t="e">
        <f>AND(#REF!,"AAAAAH7if60=")</f>
        <v>#REF!</v>
      </c>
      <c r="FS52" s="1" t="e">
        <f>AND(#REF!,"AAAAAH7if64=")</f>
        <v>#REF!</v>
      </c>
      <c r="FT52" s="1" t="e">
        <f>AND(#REF!,"AAAAAH7if68=")</f>
        <v>#REF!</v>
      </c>
      <c r="FU52" s="1" t="e">
        <f>AND(#REF!,"AAAAAH7if7A=")</f>
        <v>#REF!</v>
      </c>
      <c r="FV52" s="1" t="e">
        <f>AND(#REF!,"AAAAAH7if7E=")</f>
        <v>#REF!</v>
      </c>
      <c r="FW52" s="1" t="e">
        <f>AND(#REF!,"AAAAAH7if7I=")</f>
        <v>#REF!</v>
      </c>
      <c r="FX52" s="1" t="e">
        <f>AND(#REF!,"AAAAAH7if7M=")</f>
        <v>#REF!</v>
      </c>
      <c r="FY52" s="1" t="e">
        <f>AND(#REF!,"AAAAAH7if7Q=")</f>
        <v>#REF!</v>
      </c>
      <c r="FZ52" s="1" t="e">
        <f>AND(#REF!,"AAAAAH7if7U=")</f>
        <v>#REF!</v>
      </c>
      <c r="GA52" s="1" t="e">
        <f>AND(#REF!,"AAAAAH7if7Y=")</f>
        <v>#REF!</v>
      </c>
      <c r="GB52" s="1" t="e">
        <f>AND(#REF!,"AAAAAH7if7c=")</f>
        <v>#REF!</v>
      </c>
      <c r="GC52" s="1" t="e">
        <f>AND(#REF!,"AAAAAH7if7g=")</f>
        <v>#REF!</v>
      </c>
      <c r="GD52" s="1" t="e">
        <f>AND(#REF!,"AAAAAH7if7k=")</f>
        <v>#REF!</v>
      </c>
      <c r="GE52" s="1" t="e">
        <f>AND(#REF!,"AAAAAH7if7o=")</f>
        <v>#REF!</v>
      </c>
      <c r="GF52" s="1" t="e">
        <f>AND(#REF!,"AAAAAH7if7s=")</f>
        <v>#REF!</v>
      </c>
      <c r="GG52" s="1" t="e">
        <f>AND(#REF!,"AAAAAH7if7w=")</f>
        <v>#REF!</v>
      </c>
      <c r="GH52" s="1" t="e">
        <f>AND(#REF!,"AAAAAH7if70=")</f>
        <v>#REF!</v>
      </c>
      <c r="GI52" s="1" t="e">
        <f>AND(#REF!,"AAAAAH7if74=")</f>
        <v>#REF!</v>
      </c>
      <c r="GJ52" s="1" t="e">
        <f>IF(#REF!,"AAAAAH7if78=",0)</f>
        <v>#REF!</v>
      </c>
      <c r="GK52" s="1" t="e">
        <f>AND(#REF!,"AAAAAH7if8A=")</f>
        <v>#REF!</v>
      </c>
      <c r="GL52" s="1" t="e">
        <f>AND(#REF!,"AAAAAH7if8E=")</f>
        <v>#REF!</v>
      </c>
      <c r="GM52" s="1" t="e">
        <f>AND(#REF!,"AAAAAH7if8I=")</f>
        <v>#REF!</v>
      </c>
      <c r="GN52" s="1" t="e">
        <f>AND(#REF!,"AAAAAH7if8M=")</f>
        <v>#REF!</v>
      </c>
      <c r="GO52" s="1" t="e">
        <f>AND(#REF!,"AAAAAH7if8Q=")</f>
        <v>#REF!</v>
      </c>
      <c r="GP52" s="1" t="e">
        <f>AND(#REF!,"AAAAAH7if8U=")</f>
        <v>#REF!</v>
      </c>
      <c r="GQ52" s="1" t="e">
        <f>AND(#REF!,"AAAAAH7if8Y=")</f>
        <v>#REF!</v>
      </c>
      <c r="GR52" s="1" t="e">
        <f>AND(#REF!,"AAAAAH7if8c=")</f>
        <v>#REF!</v>
      </c>
      <c r="GS52" s="1" t="e">
        <f>AND(#REF!,"AAAAAH7if8g=")</f>
        <v>#REF!</v>
      </c>
      <c r="GT52" s="1" t="e">
        <f>AND(#REF!,"AAAAAH7if8k=")</f>
        <v>#REF!</v>
      </c>
      <c r="GU52" s="1" t="e">
        <f>AND(#REF!,"AAAAAH7if8o=")</f>
        <v>#REF!</v>
      </c>
      <c r="GV52" s="1" t="e">
        <f>AND(#REF!,"AAAAAH7if8s=")</f>
        <v>#REF!</v>
      </c>
      <c r="GW52" s="1" t="e">
        <f>AND(#REF!,"AAAAAH7if8w=")</f>
        <v>#REF!</v>
      </c>
      <c r="GX52" s="1" t="e">
        <f>AND(#REF!,"AAAAAH7if80=")</f>
        <v>#REF!</v>
      </c>
      <c r="GY52" s="1" t="e">
        <f>AND(#REF!,"AAAAAH7if84=")</f>
        <v>#REF!</v>
      </c>
      <c r="GZ52" s="1" t="e">
        <f>AND(#REF!,"AAAAAH7if88=")</f>
        <v>#REF!</v>
      </c>
      <c r="HA52" s="1" t="e">
        <f>AND(#REF!,"AAAAAH7if9A=")</f>
        <v>#REF!</v>
      </c>
      <c r="HB52" s="1" t="e">
        <f>AND(#REF!,"AAAAAH7if9E=")</f>
        <v>#REF!</v>
      </c>
      <c r="HC52" s="1" t="e">
        <f>AND(#REF!,"AAAAAH7if9I=")</f>
        <v>#REF!</v>
      </c>
      <c r="HD52" s="1" t="e">
        <f>AND(#REF!,"AAAAAH7if9M=")</f>
        <v>#REF!</v>
      </c>
      <c r="HE52" s="1" t="e">
        <f>AND(#REF!,"AAAAAH7if9Q=")</f>
        <v>#REF!</v>
      </c>
      <c r="HF52" s="1" t="e">
        <f>AND(#REF!,"AAAAAH7if9U=")</f>
        <v>#REF!</v>
      </c>
      <c r="HG52" s="1" t="e">
        <f>AND(#REF!,"AAAAAH7if9Y=")</f>
        <v>#REF!</v>
      </c>
      <c r="HH52" s="1" t="e">
        <f>AND(#REF!,"AAAAAH7if9c=")</f>
        <v>#REF!</v>
      </c>
      <c r="HI52" s="1" t="e">
        <f>AND(#REF!,"AAAAAH7if9g=")</f>
        <v>#REF!</v>
      </c>
      <c r="HJ52" s="1" t="e">
        <f>IF(#REF!,"AAAAAH7if9k=",0)</f>
        <v>#REF!</v>
      </c>
      <c r="HK52" s="1" t="e">
        <f>AND(#REF!,"AAAAAH7if9o=")</f>
        <v>#REF!</v>
      </c>
      <c r="HL52" s="1" t="e">
        <f>AND(#REF!,"AAAAAH7if9s=")</f>
        <v>#REF!</v>
      </c>
      <c r="HM52" s="1" t="e">
        <f>AND(#REF!,"AAAAAH7if9w=")</f>
        <v>#REF!</v>
      </c>
      <c r="HN52" s="1" t="e">
        <f>AND(#REF!,"AAAAAH7if90=")</f>
        <v>#REF!</v>
      </c>
      <c r="HO52" s="1" t="e">
        <f>AND(#REF!,"AAAAAH7if94=")</f>
        <v>#REF!</v>
      </c>
      <c r="HP52" s="1" t="e">
        <f>AND(#REF!,"AAAAAH7if98=")</f>
        <v>#REF!</v>
      </c>
      <c r="HQ52" s="1" t="e">
        <f>AND(#REF!,"AAAAAH7if+A=")</f>
        <v>#REF!</v>
      </c>
      <c r="HR52" s="1" t="e">
        <f>AND(#REF!,"AAAAAH7if+E=")</f>
        <v>#REF!</v>
      </c>
      <c r="HS52" s="1" t="e">
        <f>AND(#REF!,"AAAAAH7if+I=")</f>
        <v>#REF!</v>
      </c>
      <c r="HT52" s="1" t="e">
        <f>AND(#REF!,"AAAAAH7if+M=")</f>
        <v>#REF!</v>
      </c>
      <c r="HU52" s="1" t="e">
        <f>AND(#REF!,"AAAAAH7if+Q=")</f>
        <v>#REF!</v>
      </c>
      <c r="HV52" s="1" t="e">
        <f>AND(#REF!,"AAAAAH7if+U=")</f>
        <v>#REF!</v>
      </c>
      <c r="HW52" s="1" t="e">
        <f>AND(#REF!,"AAAAAH7if+Y=")</f>
        <v>#REF!</v>
      </c>
      <c r="HX52" s="1" t="e">
        <f>AND(#REF!,"AAAAAH7if+c=")</f>
        <v>#REF!</v>
      </c>
      <c r="HY52" s="1" t="e">
        <f>AND(#REF!,"AAAAAH7if+g=")</f>
        <v>#REF!</v>
      </c>
      <c r="HZ52" s="1" t="e">
        <f>AND(#REF!,"AAAAAH7if+k=")</f>
        <v>#REF!</v>
      </c>
      <c r="IA52" s="1" t="e">
        <f>AND(#REF!,"AAAAAH7if+o=")</f>
        <v>#REF!</v>
      </c>
      <c r="IB52" s="1" t="e">
        <f>AND(#REF!,"AAAAAH7if+s=")</f>
        <v>#REF!</v>
      </c>
      <c r="IC52" s="1" t="e">
        <f>AND(#REF!,"AAAAAH7if+w=")</f>
        <v>#REF!</v>
      </c>
      <c r="ID52" s="1" t="e">
        <f>AND(#REF!,"AAAAAH7if+0=")</f>
        <v>#REF!</v>
      </c>
      <c r="IE52" s="1" t="e">
        <f>AND(#REF!,"AAAAAH7if+4=")</f>
        <v>#REF!</v>
      </c>
      <c r="IF52" s="1" t="e">
        <f>AND(#REF!,"AAAAAH7if+8=")</f>
        <v>#REF!</v>
      </c>
      <c r="IG52" s="1" t="e">
        <f>AND(#REF!,"AAAAAH7if/A=")</f>
        <v>#REF!</v>
      </c>
      <c r="IH52" s="1" t="e">
        <f>AND(#REF!,"AAAAAH7if/E=")</f>
        <v>#REF!</v>
      </c>
      <c r="II52" s="1" t="e">
        <f>AND(#REF!,"AAAAAH7if/I=")</f>
        <v>#REF!</v>
      </c>
      <c r="IJ52" s="1" t="e">
        <f>IF(#REF!,"AAAAAH7if/M=",0)</f>
        <v>#REF!</v>
      </c>
      <c r="IK52" s="1" t="e">
        <f>AND(#REF!,"AAAAAH7if/Q=")</f>
        <v>#REF!</v>
      </c>
      <c r="IL52" s="1" t="e">
        <f>AND(#REF!,"AAAAAH7if/U=")</f>
        <v>#REF!</v>
      </c>
      <c r="IM52" s="1" t="e">
        <f>AND(#REF!,"AAAAAH7if/Y=")</f>
        <v>#REF!</v>
      </c>
      <c r="IN52" s="1" t="e">
        <f>AND(#REF!,"AAAAAH7if/c=")</f>
        <v>#REF!</v>
      </c>
      <c r="IO52" s="1" t="e">
        <f>AND(#REF!,"AAAAAH7if/g=")</f>
        <v>#REF!</v>
      </c>
      <c r="IP52" s="1" t="e">
        <f>AND(#REF!,"AAAAAH7if/k=")</f>
        <v>#REF!</v>
      </c>
      <c r="IQ52" s="1" t="e">
        <f>AND(#REF!,"AAAAAH7if/o=")</f>
        <v>#REF!</v>
      </c>
      <c r="IR52" s="1" t="e">
        <f>AND(#REF!,"AAAAAH7if/s=")</f>
        <v>#REF!</v>
      </c>
      <c r="IS52" s="1" t="e">
        <f>AND(#REF!,"AAAAAH7if/w=")</f>
        <v>#REF!</v>
      </c>
      <c r="IT52" s="1" t="e">
        <f>AND(#REF!,"AAAAAH7if/0=")</f>
        <v>#REF!</v>
      </c>
      <c r="IU52" s="1" t="e">
        <f>AND(#REF!,"AAAAAH7if/4=")</f>
        <v>#REF!</v>
      </c>
      <c r="IV52" s="1" t="e">
        <f>AND(#REF!,"AAAAAH7if/8=")</f>
        <v>#REF!</v>
      </c>
    </row>
    <row r="53" spans="1:256" ht="15" customHeight="1" x14ac:dyDescent="0.2">
      <c r="A53" s="1" t="e">
        <f>AND(#REF!,"AAAAAD7SzwA=")</f>
        <v>#REF!</v>
      </c>
      <c r="B53" s="1" t="e">
        <f>AND(#REF!,"AAAAAD7SzwE=")</f>
        <v>#REF!</v>
      </c>
      <c r="C53" s="1" t="e">
        <f>AND(#REF!,"AAAAAD7SzwI=")</f>
        <v>#REF!</v>
      </c>
      <c r="D53" s="1" t="e">
        <f>AND(#REF!,"AAAAAD7SzwM=")</f>
        <v>#REF!</v>
      </c>
      <c r="E53" s="1" t="e">
        <f>AND(#REF!,"AAAAAD7SzwQ=")</f>
        <v>#REF!</v>
      </c>
      <c r="F53" s="1" t="e">
        <f>AND(#REF!,"AAAAAD7SzwU=")</f>
        <v>#REF!</v>
      </c>
      <c r="G53" s="1" t="e">
        <f>AND(#REF!,"AAAAAD7SzwY=")</f>
        <v>#REF!</v>
      </c>
      <c r="H53" s="1" t="e">
        <f>AND(#REF!,"AAAAAD7Szwc=")</f>
        <v>#REF!</v>
      </c>
      <c r="I53" s="1" t="e">
        <f>AND(#REF!,"AAAAAD7Szwg=")</f>
        <v>#REF!</v>
      </c>
      <c r="J53" s="1" t="e">
        <f>AND(#REF!,"AAAAAD7Szwk=")</f>
        <v>#REF!</v>
      </c>
      <c r="K53" s="1" t="e">
        <f>AND(#REF!,"AAAAAD7Szwo=")</f>
        <v>#REF!</v>
      </c>
      <c r="L53" s="1" t="e">
        <f>AND(#REF!,"AAAAAD7Szws=")</f>
        <v>#REF!</v>
      </c>
      <c r="M53" s="1" t="e">
        <f>AND(#REF!,"AAAAAD7Szww=")</f>
        <v>#REF!</v>
      </c>
      <c r="N53" s="1" t="e">
        <f>IF(#REF!,"AAAAAD7Szw0=",0)</f>
        <v>#REF!</v>
      </c>
      <c r="O53" s="1" t="e">
        <f>AND(#REF!,"AAAAAD7Szw4=")</f>
        <v>#REF!</v>
      </c>
      <c r="P53" s="1" t="e">
        <f>AND(#REF!,"AAAAAD7Szw8=")</f>
        <v>#REF!</v>
      </c>
      <c r="Q53" s="1" t="e">
        <f>AND(#REF!,"AAAAAD7SzxA=")</f>
        <v>#REF!</v>
      </c>
      <c r="R53" s="1" t="e">
        <f>AND(#REF!,"AAAAAD7SzxE=")</f>
        <v>#REF!</v>
      </c>
      <c r="S53" s="1" t="e">
        <f>AND(#REF!,"AAAAAD7SzxI=")</f>
        <v>#REF!</v>
      </c>
      <c r="T53" s="1" t="e">
        <f>AND(#REF!,"AAAAAD7SzxM=")</f>
        <v>#REF!</v>
      </c>
      <c r="U53" s="1" t="e">
        <f>AND(#REF!,"AAAAAD7SzxQ=")</f>
        <v>#REF!</v>
      </c>
      <c r="V53" s="1" t="e">
        <f>AND(#REF!,"AAAAAD7SzxU=")</f>
        <v>#REF!</v>
      </c>
      <c r="W53" s="1" t="e">
        <f>AND(#REF!,"AAAAAD7SzxY=")</f>
        <v>#REF!</v>
      </c>
      <c r="X53" s="1" t="e">
        <f>AND(#REF!,"AAAAAD7Szxc=")</f>
        <v>#REF!</v>
      </c>
      <c r="Y53" s="1" t="e">
        <f>AND(#REF!,"AAAAAD7Szxg=")</f>
        <v>#REF!</v>
      </c>
      <c r="Z53" s="1" t="e">
        <f>AND(#REF!,"AAAAAD7Szxk=")</f>
        <v>#REF!</v>
      </c>
      <c r="AA53" s="1" t="e">
        <f>AND(#REF!,"AAAAAD7Szxo=")</f>
        <v>#REF!</v>
      </c>
      <c r="AB53" s="1" t="e">
        <f>AND(#REF!,"AAAAAD7Szxs=")</f>
        <v>#REF!</v>
      </c>
      <c r="AC53" s="1" t="e">
        <f>AND(#REF!,"AAAAAD7Szxw=")</f>
        <v>#REF!</v>
      </c>
      <c r="AD53" s="1" t="e">
        <f>AND(#REF!,"AAAAAD7Szx0=")</f>
        <v>#REF!</v>
      </c>
      <c r="AE53" s="1" t="e">
        <f>AND(#REF!,"AAAAAD7Szx4=")</f>
        <v>#REF!</v>
      </c>
      <c r="AF53" s="1" t="e">
        <f>AND(#REF!,"AAAAAD7Szx8=")</f>
        <v>#REF!</v>
      </c>
      <c r="AG53" s="1" t="e">
        <f>AND(#REF!,"AAAAAD7SzyA=")</f>
        <v>#REF!</v>
      </c>
      <c r="AH53" s="1" t="e">
        <f>AND(#REF!,"AAAAAD7SzyE=")</f>
        <v>#REF!</v>
      </c>
      <c r="AI53" s="1" t="e">
        <f>AND(#REF!,"AAAAAD7SzyI=")</f>
        <v>#REF!</v>
      </c>
      <c r="AJ53" s="1" t="e">
        <f>AND(#REF!,"AAAAAD7SzyM=")</f>
        <v>#REF!</v>
      </c>
      <c r="AK53" s="1" t="e">
        <f>AND(#REF!,"AAAAAD7SzyQ=")</f>
        <v>#REF!</v>
      </c>
      <c r="AL53" s="1" t="e">
        <f>AND(#REF!,"AAAAAD7SzyU=")</f>
        <v>#REF!</v>
      </c>
      <c r="AM53" s="1" t="e">
        <f>AND(#REF!,"AAAAAD7SzyY=")</f>
        <v>#REF!</v>
      </c>
      <c r="AN53" s="1" t="e">
        <f>IF(#REF!,"AAAAAD7Szyc=",0)</f>
        <v>#REF!</v>
      </c>
      <c r="AO53" s="1" t="e">
        <f>AND(#REF!,"AAAAAD7Szyg=")</f>
        <v>#REF!</v>
      </c>
      <c r="AP53" s="1" t="e">
        <f>AND(#REF!,"AAAAAD7Szyk=")</f>
        <v>#REF!</v>
      </c>
      <c r="AQ53" s="1" t="e">
        <f>AND(#REF!,"AAAAAD7Szyo=")</f>
        <v>#REF!</v>
      </c>
      <c r="AR53" s="1" t="e">
        <f>AND(#REF!,"AAAAAD7Szys=")</f>
        <v>#REF!</v>
      </c>
      <c r="AS53" s="1" t="e">
        <f>AND(#REF!,"AAAAAD7Szyw=")</f>
        <v>#REF!</v>
      </c>
      <c r="AT53" s="1" t="e">
        <f>AND(#REF!,"AAAAAD7Szy0=")</f>
        <v>#REF!</v>
      </c>
      <c r="AU53" s="1" t="e">
        <f>AND(#REF!,"AAAAAD7Szy4=")</f>
        <v>#REF!</v>
      </c>
      <c r="AV53" s="1" t="e">
        <f>AND(#REF!,"AAAAAD7Szy8=")</f>
        <v>#REF!</v>
      </c>
      <c r="AW53" s="1" t="e">
        <f>AND(#REF!,"AAAAAD7SzzA=")</f>
        <v>#REF!</v>
      </c>
      <c r="AX53" s="1" t="e">
        <f>AND(#REF!,"AAAAAD7SzzE=")</f>
        <v>#REF!</v>
      </c>
      <c r="AY53" s="1" t="e">
        <f>AND(#REF!,"AAAAAD7SzzI=")</f>
        <v>#REF!</v>
      </c>
      <c r="AZ53" s="1" t="e">
        <f>AND(#REF!,"AAAAAD7SzzM=")</f>
        <v>#REF!</v>
      </c>
      <c r="BA53" s="1" t="e">
        <f>AND(#REF!,"AAAAAD7SzzQ=")</f>
        <v>#REF!</v>
      </c>
      <c r="BB53" s="1" t="e">
        <f>AND(#REF!,"AAAAAD7SzzU=")</f>
        <v>#REF!</v>
      </c>
      <c r="BC53" s="1" t="e">
        <f>AND(#REF!,"AAAAAD7SzzY=")</f>
        <v>#REF!</v>
      </c>
      <c r="BD53" s="1" t="e">
        <f>AND(#REF!,"AAAAAD7Szzc=")</f>
        <v>#REF!</v>
      </c>
      <c r="BE53" s="1" t="e">
        <f>AND(#REF!,"AAAAAD7Szzg=")</f>
        <v>#REF!</v>
      </c>
      <c r="BF53" s="1" t="e">
        <f>AND(#REF!,"AAAAAD7Szzk=")</f>
        <v>#REF!</v>
      </c>
      <c r="BG53" s="1" t="e">
        <f>AND(#REF!,"AAAAAD7Szzo=")</f>
        <v>#REF!</v>
      </c>
      <c r="BH53" s="1" t="e">
        <f>AND(#REF!,"AAAAAD7Szzs=")</f>
        <v>#REF!</v>
      </c>
      <c r="BI53" s="1" t="e">
        <f>AND(#REF!,"AAAAAD7Szzw=")</f>
        <v>#REF!</v>
      </c>
      <c r="BJ53" s="1" t="e">
        <f>AND(#REF!,"AAAAAD7Szz0=")</f>
        <v>#REF!</v>
      </c>
      <c r="BK53" s="1" t="e">
        <f>AND(#REF!,"AAAAAD7Szz4=")</f>
        <v>#REF!</v>
      </c>
      <c r="BL53" s="1" t="e">
        <f>AND(#REF!,"AAAAAD7Szz8=")</f>
        <v>#REF!</v>
      </c>
      <c r="BM53" s="1" t="e">
        <f>AND(#REF!,"AAAAAD7Sz0A=")</f>
        <v>#REF!</v>
      </c>
      <c r="BN53" s="1" t="e">
        <f>IF(#REF!,"AAAAAD7Sz0E=",0)</f>
        <v>#REF!</v>
      </c>
      <c r="BO53" s="1" t="e">
        <f>AND(#REF!,"AAAAAD7Sz0I=")</f>
        <v>#REF!</v>
      </c>
      <c r="BP53" s="1" t="e">
        <f>AND(#REF!,"AAAAAD7Sz0M=")</f>
        <v>#REF!</v>
      </c>
      <c r="BQ53" s="1" t="e">
        <f>AND(#REF!,"AAAAAD7Sz0Q=")</f>
        <v>#REF!</v>
      </c>
      <c r="BR53" s="1" t="e">
        <f>AND(#REF!,"AAAAAD7Sz0U=")</f>
        <v>#REF!</v>
      </c>
      <c r="BS53" s="1" t="e">
        <f>AND(#REF!,"AAAAAD7Sz0Y=")</f>
        <v>#REF!</v>
      </c>
      <c r="BT53" s="1" t="e">
        <f>AND(#REF!,"AAAAAD7Sz0c=")</f>
        <v>#REF!</v>
      </c>
      <c r="BU53" s="1" t="e">
        <f>AND(#REF!,"AAAAAD7Sz0g=")</f>
        <v>#REF!</v>
      </c>
      <c r="BV53" s="1" t="e">
        <f>AND(#REF!,"AAAAAD7Sz0k=")</f>
        <v>#REF!</v>
      </c>
      <c r="BW53" s="1" t="e">
        <f>AND(#REF!,"AAAAAD7Sz0o=")</f>
        <v>#REF!</v>
      </c>
      <c r="BX53" s="1" t="e">
        <f>AND(#REF!,"AAAAAD7Sz0s=")</f>
        <v>#REF!</v>
      </c>
      <c r="BY53" s="1" t="e">
        <f>AND(#REF!,"AAAAAD7Sz0w=")</f>
        <v>#REF!</v>
      </c>
      <c r="BZ53" s="1" t="e">
        <f>AND(#REF!,"AAAAAD7Sz00=")</f>
        <v>#REF!</v>
      </c>
      <c r="CA53" s="1" t="e">
        <f>AND(#REF!,"AAAAAD7Sz04=")</f>
        <v>#REF!</v>
      </c>
      <c r="CB53" s="1" t="e">
        <f>AND(#REF!,"AAAAAD7Sz08=")</f>
        <v>#REF!</v>
      </c>
      <c r="CC53" s="1" t="e">
        <f>AND(#REF!,"AAAAAD7Sz1A=")</f>
        <v>#REF!</v>
      </c>
      <c r="CD53" s="1" t="e">
        <f>AND(#REF!,"AAAAAD7Sz1E=")</f>
        <v>#REF!</v>
      </c>
      <c r="CE53" s="1" t="e">
        <f>AND(#REF!,"AAAAAD7Sz1I=")</f>
        <v>#REF!</v>
      </c>
      <c r="CF53" s="1" t="e">
        <f>AND(#REF!,"AAAAAD7Sz1M=")</f>
        <v>#REF!</v>
      </c>
      <c r="CG53" s="1" t="e">
        <f>AND(#REF!,"AAAAAD7Sz1Q=")</f>
        <v>#REF!</v>
      </c>
      <c r="CH53" s="1" t="e">
        <f>AND(#REF!,"AAAAAD7Sz1U=")</f>
        <v>#REF!</v>
      </c>
      <c r="CI53" s="1" t="e">
        <f>AND(#REF!,"AAAAAD7Sz1Y=")</f>
        <v>#REF!</v>
      </c>
      <c r="CJ53" s="1" t="e">
        <f>AND(#REF!,"AAAAAD7Sz1c=")</f>
        <v>#REF!</v>
      </c>
      <c r="CK53" s="1" t="e">
        <f>AND(#REF!,"AAAAAD7Sz1g=")</f>
        <v>#REF!</v>
      </c>
      <c r="CL53" s="1" t="e">
        <f>AND(#REF!,"AAAAAD7Sz1k=")</f>
        <v>#REF!</v>
      </c>
      <c r="CM53" s="1" t="e">
        <f>AND(#REF!,"AAAAAD7Sz1o=")</f>
        <v>#REF!</v>
      </c>
      <c r="CN53" s="1" t="e">
        <f>IF(#REF!,"AAAAAD7Sz1s=",0)</f>
        <v>#REF!</v>
      </c>
      <c r="CO53" s="1" t="e">
        <f>AND(#REF!,"AAAAAD7Sz1w=")</f>
        <v>#REF!</v>
      </c>
      <c r="CP53" s="1" t="e">
        <f>AND(#REF!,"AAAAAD7Sz10=")</f>
        <v>#REF!</v>
      </c>
      <c r="CQ53" s="1" t="e">
        <f>AND(#REF!,"AAAAAD7Sz14=")</f>
        <v>#REF!</v>
      </c>
      <c r="CR53" s="1" t="e">
        <f>AND(#REF!,"AAAAAD7Sz18=")</f>
        <v>#REF!</v>
      </c>
      <c r="CS53" s="1" t="e">
        <f>AND(#REF!,"AAAAAD7Sz2A=")</f>
        <v>#REF!</v>
      </c>
      <c r="CT53" s="1" t="e">
        <f>AND(#REF!,"AAAAAD7Sz2E=")</f>
        <v>#REF!</v>
      </c>
      <c r="CU53" s="1" t="e">
        <f>AND(#REF!,"AAAAAD7Sz2I=")</f>
        <v>#REF!</v>
      </c>
      <c r="CV53" s="1" t="e">
        <f>AND(#REF!,"AAAAAD7Sz2M=")</f>
        <v>#REF!</v>
      </c>
      <c r="CW53" s="1" t="e">
        <f>AND(#REF!,"AAAAAD7Sz2Q=")</f>
        <v>#REF!</v>
      </c>
      <c r="CX53" s="1" t="e">
        <f>AND(#REF!,"AAAAAD7Sz2U=")</f>
        <v>#REF!</v>
      </c>
      <c r="CY53" s="1" t="e">
        <f>AND(#REF!,"AAAAAD7Sz2Y=")</f>
        <v>#REF!</v>
      </c>
      <c r="CZ53" s="1" t="e">
        <f>AND(#REF!,"AAAAAD7Sz2c=")</f>
        <v>#REF!</v>
      </c>
      <c r="DA53" s="1" t="e">
        <f>AND(#REF!,"AAAAAD7Sz2g=")</f>
        <v>#REF!</v>
      </c>
      <c r="DB53" s="1" t="e">
        <f>AND(#REF!,"AAAAAD7Sz2k=")</f>
        <v>#REF!</v>
      </c>
      <c r="DC53" s="1" t="e">
        <f>AND(#REF!,"AAAAAD7Sz2o=")</f>
        <v>#REF!</v>
      </c>
      <c r="DD53" s="1" t="e">
        <f>AND(#REF!,"AAAAAD7Sz2s=")</f>
        <v>#REF!</v>
      </c>
      <c r="DE53" s="1" t="e">
        <f>AND(#REF!,"AAAAAD7Sz2w=")</f>
        <v>#REF!</v>
      </c>
      <c r="DF53" s="1" t="e">
        <f>AND(#REF!,"AAAAAD7Sz20=")</f>
        <v>#REF!</v>
      </c>
      <c r="DG53" s="1" t="e">
        <f>AND(#REF!,"AAAAAD7Sz24=")</f>
        <v>#REF!</v>
      </c>
      <c r="DH53" s="1" t="e">
        <f>AND(#REF!,"AAAAAD7Sz28=")</f>
        <v>#REF!</v>
      </c>
      <c r="DI53" s="1" t="e">
        <f>AND(#REF!,"AAAAAD7Sz3A=")</f>
        <v>#REF!</v>
      </c>
      <c r="DJ53" s="1" t="e">
        <f>AND(#REF!,"AAAAAD7Sz3E=")</f>
        <v>#REF!</v>
      </c>
      <c r="DK53" s="1" t="e">
        <f>AND(#REF!,"AAAAAD7Sz3I=")</f>
        <v>#REF!</v>
      </c>
      <c r="DL53" s="1" t="e">
        <f>AND(#REF!,"AAAAAD7Sz3M=")</f>
        <v>#REF!</v>
      </c>
      <c r="DM53" s="1" t="e">
        <f>AND(#REF!,"AAAAAD7Sz3Q=")</f>
        <v>#REF!</v>
      </c>
      <c r="DN53" s="1" t="e">
        <f>IF(#REF!,"AAAAAD7Sz3U=",0)</f>
        <v>#REF!</v>
      </c>
      <c r="DO53" s="1" t="e">
        <f>AND(#REF!,"AAAAAD7Sz3Y=")</f>
        <v>#REF!</v>
      </c>
      <c r="DP53" s="1" t="e">
        <f>AND(#REF!,"AAAAAD7Sz3c=")</f>
        <v>#REF!</v>
      </c>
      <c r="DQ53" s="1" t="e">
        <f>AND(#REF!,"AAAAAD7Sz3g=")</f>
        <v>#REF!</v>
      </c>
      <c r="DR53" s="1" t="e">
        <f>AND(#REF!,"AAAAAD7Sz3k=")</f>
        <v>#REF!</v>
      </c>
      <c r="DS53" s="1" t="e">
        <f>AND(#REF!,"AAAAAD7Sz3o=")</f>
        <v>#REF!</v>
      </c>
      <c r="DT53" s="1" t="e">
        <f>AND(#REF!,"AAAAAD7Sz3s=")</f>
        <v>#REF!</v>
      </c>
      <c r="DU53" s="1" t="e">
        <f>AND(#REF!,"AAAAAD7Sz3w=")</f>
        <v>#REF!</v>
      </c>
      <c r="DV53" s="1" t="e">
        <f>AND(#REF!,"AAAAAD7Sz30=")</f>
        <v>#REF!</v>
      </c>
      <c r="DW53" s="1" t="e">
        <f>AND(#REF!,"AAAAAD7Sz34=")</f>
        <v>#REF!</v>
      </c>
      <c r="DX53" s="1" t="e">
        <f>AND(#REF!,"AAAAAD7Sz38=")</f>
        <v>#REF!</v>
      </c>
      <c r="DY53" s="1" t="e">
        <f>AND(#REF!,"AAAAAD7Sz4A=")</f>
        <v>#REF!</v>
      </c>
      <c r="DZ53" s="1" t="e">
        <f>AND(#REF!,"AAAAAD7Sz4E=")</f>
        <v>#REF!</v>
      </c>
      <c r="EA53" s="1" t="e">
        <f>AND(#REF!,"AAAAAD7Sz4I=")</f>
        <v>#REF!</v>
      </c>
      <c r="EB53" s="1" t="e">
        <f>AND(#REF!,"AAAAAD7Sz4M=")</f>
        <v>#REF!</v>
      </c>
      <c r="EC53" s="1" t="e">
        <f>AND(#REF!,"AAAAAD7Sz4Q=")</f>
        <v>#REF!</v>
      </c>
      <c r="ED53" s="1" t="e">
        <f>AND(#REF!,"AAAAAD7Sz4U=")</f>
        <v>#REF!</v>
      </c>
      <c r="EE53" s="1" t="e">
        <f>AND(#REF!,"AAAAAD7Sz4Y=")</f>
        <v>#REF!</v>
      </c>
      <c r="EF53" s="1" t="e">
        <f>AND(#REF!,"AAAAAD7Sz4c=")</f>
        <v>#REF!</v>
      </c>
      <c r="EG53" s="1" t="e">
        <f>AND(#REF!,"AAAAAD7Sz4g=")</f>
        <v>#REF!</v>
      </c>
      <c r="EH53" s="1" t="e">
        <f>AND(#REF!,"AAAAAD7Sz4k=")</f>
        <v>#REF!</v>
      </c>
      <c r="EI53" s="1" t="e">
        <f>AND(#REF!,"AAAAAD7Sz4o=")</f>
        <v>#REF!</v>
      </c>
      <c r="EJ53" s="1" t="e">
        <f>AND(#REF!,"AAAAAD7Sz4s=")</f>
        <v>#REF!</v>
      </c>
      <c r="EK53" s="1" t="e">
        <f>AND(#REF!,"AAAAAD7Sz4w=")</f>
        <v>#REF!</v>
      </c>
      <c r="EL53" s="1" t="e">
        <f>AND(#REF!,"AAAAAD7Sz40=")</f>
        <v>#REF!</v>
      </c>
      <c r="EM53" s="1" t="e">
        <f>AND(#REF!,"AAAAAD7Sz44=")</f>
        <v>#REF!</v>
      </c>
      <c r="EN53" s="1" t="e">
        <f>IF(#REF!,"AAAAAD7Sz48=",0)</f>
        <v>#REF!</v>
      </c>
      <c r="EO53" s="1" t="e">
        <f>AND(#REF!,"AAAAAD7Sz5A=")</f>
        <v>#REF!</v>
      </c>
      <c r="EP53" s="1" t="e">
        <f>AND(#REF!,"AAAAAD7Sz5E=")</f>
        <v>#REF!</v>
      </c>
      <c r="EQ53" s="1" t="e">
        <f>AND(#REF!,"AAAAAD7Sz5I=")</f>
        <v>#REF!</v>
      </c>
      <c r="ER53" s="1" t="e">
        <f>AND(#REF!,"AAAAAD7Sz5M=")</f>
        <v>#REF!</v>
      </c>
      <c r="ES53" s="1" t="e">
        <f>AND(#REF!,"AAAAAD7Sz5Q=")</f>
        <v>#REF!</v>
      </c>
      <c r="ET53" s="1" t="e">
        <f>AND(#REF!,"AAAAAD7Sz5U=")</f>
        <v>#REF!</v>
      </c>
      <c r="EU53" s="1" t="e">
        <f>AND(#REF!,"AAAAAD7Sz5Y=")</f>
        <v>#REF!</v>
      </c>
      <c r="EV53" s="1" t="e">
        <f>AND(#REF!,"AAAAAD7Sz5c=")</f>
        <v>#REF!</v>
      </c>
      <c r="EW53" s="1" t="e">
        <f>AND(#REF!,"AAAAAD7Sz5g=")</f>
        <v>#REF!</v>
      </c>
      <c r="EX53" s="1" t="e">
        <f>AND(#REF!,"AAAAAD7Sz5k=")</f>
        <v>#REF!</v>
      </c>
      <c r="EY53" s="1" t="e">
        <f>AND(#REF!,"AAAAAD7Sz5o=")</f>
        <v>#REF!</v>
      </c>
      <c r="EZ53" s="1" t="e">
        <f>AND(#REF!,"AAAAAD7Sz5s=")</f>
        <v>#REF!</v>
      </c>
      <c r="FA53" s="1" t="e">
        <f>AND(#REF!,"AAAAAD7Sz5w=")</f>
        <v>#REF!</v>
      </c>
      <c r="FB53" s="1" t="e">
        <f>AND(#REF!,"AAAAAD7Sz50=")</f>
        <v>#REF!</v>
      </c>
      <c r="FC53" s="1" t="e">
        <f>AND(#REF!,"AAAAAD7Sz54=")</f>
        <v>#REF!</v>
      </c>
      <c r="FD53" s="1" t="e">
        <f>AND(#REF!,"AAAAAD7Sz58=")</f>
        <v>#REF!</v>
      </c>
      <c r="FE53" s="1" t="e">
        <f>AND(#REF!,"AAAAAD7Sz6A=")</f>
        <v>#REF!</v>
      </c>
      <c r="FF53" s="1" t="e">
        <f>AND(#REF!,"AAAAAD7Sz6E=")</f>
        <v>#REF!</v>
      </c>
      <c r="FG53" s="1" t="e">
        <f>AND(#REF!,"AAAAAD7Sz6I=")</f>
        <v>#REF!</v>
      </c>
      <c r="FH53" s="1" t="e">
        <f>AND(#REF!,"AAAAAD7Sz6M=")</f>
        <v>#REF!</v>
      </c>
      <c r="FI53" s="1" t="e">
        <f>AND(#REF!,"AAAAAD7Sz6Q=")</f>
        <v>#REF!</v>
      </c>
      <c r="FJ53" s="1" t="e">
        <f>AND(#REF!,"AAAAAD7Sz6U=")</f>
        <v>#REF!</v>
      </c>
      <c r="FK53" s="1" t="e">
        <f>AND(#REF!,"AAAAAD7Sz6Y=")</f>
        <v>#REF!</v>
      </c>
      <c r="FL53" s="1" t="e">
        <f>AND(#REF!,"AAAAAD7Sz6c=")</f>
        <v>#REF!</v>
      </c>
      <c r="FM53" s="1" t="e">
        <f>AND(#REF!,"AAAAAD7Sz6g=")</f>
        <v>#REF!</v>
      </c>
      <c r="FN53" s="1" t="e">
        <f>IF(#REF!,"AAAAAD7Sz6k=",0)</f>
        <v>#REF!</v>
      </c>
      <c r="FO53" s="1" t="e">
        <f>AND(#REF!,"AAAAAD7Sz6o=")</f>
        <v>#REF!</v>
      </c>
      <c r="FP53" s="1" t="e">
        <f>AND(#REF!,"AAAAAD7Sz6s=")</f>
        <v>#REF!</v>
      </c>
      <c r="FQ53" s="1" t="e">
        <f>AND(#REF!,"AAAAAD7Sz6w=")</f>
        <v>#REF!</v>
      </c>
      <c r="FR53" s="1" t="e">
        <f>AND(#REF!,"AAAAAD7Sz60=")</f>
        <v>#REF!</v>
      </c>
      <c r="FS53" s="1" t="e">
        <f>AND(#REF!,"AAAAAD7Sz64=")</f>
        <v>#REF!</v>
      </c>
      <c r="FT53" s="1" t="e">
        <f>AND(#REF!,"AAAAAD7Sz68=")</f>
        <v>#REF!</v>
      </c>
      <c r="FU53" s="1" t="e">
        <f>AND(#REF!,"AAAAAD7Sz7A=")</f>
        <v>#REF!</v>
      </c>
      <c r="FV53" s="1" t="e">
        <f>AND(#REF!,"AAAAAD7Sz7E=")</f>
        <v>#REF!</v>
      </c>
      <c r="FW53" s="1" t="e">
        <f>AND(#REF!,"AAAAAD7Sz7I=")</f>
        <v>#REF!</v>
      </c>
      <c r="FX53" s="1" t="e">
        <f>AND(#REF!,"AAAAAD7Sz7M=")</f>
        <v>#REF!</v>
      </c>
      <c r="FY53" s="1" t="e">
        <f>AND(#REF!,"AAAAAD7Sz7Q=")</f>
        <v>#REF!</v>
      </c>
      <c r="FZ53" s="1" t="e">
        <f>AND(#REF!,"AAAAAD7Sz7U=")</f>
        <v>#REF!</v>
      </c>
      <c r="GA53" s="1" t="e">
        <f>AND(#REF!,"AAAAAD7Sz7Y=")</f>
        <v>#REF!</v>
      </c>
      <c r="GB53" s="1" t="e">
        <f>AND(#REF!,"AAAAAD7Sz7c=")</f>
        <v>#REF!</v>
      </c>
      <c r="GC53" s="1" t="e">
        <f>AND(#REF!,"AAAAAD7Sz7g=")</f>
        <v>#REF!</v>
      </c>
      <c r="GD53" s="1" t="e">
        <f>AND(#REF!,"AAAAAD7Sz7k=")</f>
        <v>#REF!</v>
      </c>
      <c r="GE53" s="1" t="e">
        <f>AND(#REF!,"AAAAAD7Sz7o=")</f>
        <v>#REF!</v>
      </c>
      <c r="GF53" s="1" t="e">
        <f>AND(#REF!,"AAAAAD7Sz7s=")</f>
        <v>#REF!</v>
      </c>
      <c r="GG53" s="1" t="e">
        <f>AND(#REF!,"AAAAAD7Sz7w=")</f>
        <v>#REF!</v>
      </c>
      <c r="GH53" s="1" t="e">
        <f>AND(#REF!,"AAAAAD7Sz70=")</f>
        <v>#REF!</v>
      </c>
      <c r="GI53" s="1" t="e">
        <f>AND(#REF!,"AAAAAD7Sz74=")</f>
        <v>#REF!</v>
      </c>
      <c r="GJ53" s="1" t="e">
        <f>AND(#REF!,"AAAAAD7Sz78=")</f>
        <v>#REF!</v>
      </c>
      <c r="GK53" s="1" t="e">
        <f>AND(#REF!,"AAAAAD7Sz8A=")</f>
        <v>#REF!</v>
      </c>
      <c r="GL53" s="1" t="e">
        <f>AND(#REF!,"AAAAAD7Sz8E=")</f>
        <v>#REF!</v>
      </c>
      <c r="GM53" s="1" t="e">
        <f>AND(#REF!,"AAAAAD7Sz8I=")</f>
        <v>#REF!</v>
      </c>
      <c r="GN53" s="1" t="e">
        <f>IF(#REF!,"AAAAAD7Sz8M=",0)</f>
        <v>#REF!</v>
      </c>
      <c r="GO53" s="1" t="e">
        <f>AND(#REF!,"AAAAAD7Sz8Q=")</f>
        <v>#REF!</v>
      </c>
      <c r="GP53" s="1" t="e">
        <f>AND(#REF!,"AAAAAD7Sz8U=")</f>
        <v>#REF!</v>
      </c>
      <c r="GQ53" s="1" t="e">
        <f>AND(#REF!,"AAAAAD7Sz8Y=")</f>
        <v>#REF!</v>
      </c>
      <c r="GR53" s="1" t="e">
        <f>AND(#REF!,"AAAAAD7Sz8c=")</f>
        <v>#REF!</v>
      </c>
      <c r="GS53" s="1" t="e">
        <f>AND(#REF!,"AAAAAD7Sz8g=")</f>
        <v>#REF!</v>
      </c>
      <c r="GT53" s="1" t="e">
        <f>AND(#REF!,"AAAAAD7Sz8k=")</f>
        <v>#REF!</v>
      </c>
      <c r="GU53" s="1" t="e">
        <f>AND(#REF!,"AAAAAD7Sz8o=")</f>
        <v>#REF!</v>
      </c>
      <c r="GV53" s="1" t="e">
        <f>AND(#REF!,"AAAAAD7Sz8s=")</f>
        <v>#REF!</v>
      </c>
      <c r="GW53" s="1" t="e">
        <f>AND(#REF!,"AAAAAD7Sz8w=")</f>
        <v>#REF!</v>
      </c>
      <c r="GX53" s="1" t="e">
        <f>AND(#REF!,"AAAAAD7Sz80=")</f>
        <v>#REF!</v>
      </c>
      <c r="GY53" s="1" t="e">
        <f>AND(#REF!,"AAAAAD7Sz84=")</f>
        <v>#REF!</v>
      </c>
      <c r="GZ53" s="1" t="e">
        <f>AND(#REF!,"AAAAAD7Sz88=")</f>
        <v>#REF!</v>
      </c>
      <c r="HA53" s="1" t="e">
        <f>AND(#REF!,"AAAAAD7Sz9A=")</f>
        <v>#REF!</v>
      </c>
      <c r="HB53" s="1" t="e">
        <f>AND(#REF!,"AAAAAD7Sz9E=")</f>
        <v>#REF!</v>
      </c>
      <c r="HC53" s="1" t="e">
        <f>AND(#REF!,"AAAAAD7Sz9I=")</f>
        <v>#REF!</v>
      </c>
      <c r="HD53" s="1" t="e">
        <f>AND(#REF!,"AAAAAD7Sz9M=")</f>
        <v>#REF!</v>
      </c>
      <c r="HE53" s="1" t="e">
        <f>AND(#REF!,"AAAAAD7Sz9Q=")</f>
        <v>#REF!</v>
      </c>
      <c r="HF53" s="1" t="e">
        <f>AND(#REF!,"AAAAAD7Sz9U=")</f>
        <v>#REF!</v>
      </c>
      <c r="HG53" s="1" t="e">
        <f>AND(#REF!,"AAAAAD7Sz9Y=")</f>
        <v>#REF!</v>
      </c>
      <c r="HH53" s="1" t="e">
        <f>AND(#REF!,"AAAAAD7Sz9c=")</f>
        <v>#REF!</v>
      </c>
      <c r="HI53" s="1" t="e">
        <f>AND(#REF!,"AAAAAD7Sz9g=")</f>
        <v>#REF!</v>
      </c>
      <c r="HJ53" s="1" t="e">
        <f>AND(#REF!,"AAAAAD7Sz9k=")</f>
        <v>#REF!</v>
      </c>
      <c r="HK53" s="1" t="e">
        <f>AND(#REF!,"AAAAAD7Sz9o=")</f>
        <v>#REF!</v>
      </c>
      <c r="HL53" s="1" t="e">
        <f>AND(#REF!,"AAAAAD7Sz9s=")</f>
        <v>#REF!</v>
      </c>
      <c r="HM53" s="1" t="e">
        <f>AND(#REF!,"AAAAAD7Sz9w=")</f>
        <v>#REF!</v>
      </c>
      <c r="HN53" s="1" t="e">
        <f>IF(#REF!,"AAAAAD7Sz90=",0)</f>
        <v>#REF!</v>
      </c>
      <c r="HO53" s="1" t="e">
        <f>AND(#REF!,"AAAAAD7Sz94=")</f>
        <v>#REF!</v>
      </c>
      <c r="HP53" s="1" t="e">
        <f>AND(#REF!,"AAAAAD7Sz98=")</f>
        <v>#REF!</v>
      </c>
      <c r="HQ53" s="1" t="e">
        <f>AND(#REF!,"AAAAAD7Sz+A=")</f>
        <v>#REF!</v>
      </c>
      <c r="HR53" s="1" t="e">
        <f>AND(#REF!,"AAAAAD7Sz+E=")</f>
        <v>#REF!</v>
      </c>
      <c r="HS53" s="1" t="e">
        <f>AND(#REF!,"AAAAAD7Sz+I=")</f>
        <v>#REF!</v>
      </c>
      <c r="HT53" s="1" t="e">
        <f>AND(#REF!,"AAAAAD7Sz+M=")</f>
        <v>#REF!</v>
      </c>
      <c r="HU53" s="1" t="e">
        <f>AND(#REF!,"AAAAAD7Sz+Q=")</f>
        <v>#REF!</v>
      </c>
      <c r="HV53" s="1" t="e">
        <f>AND(#REF!,"AAAAAD7Sz+U=")</f>
        <v>#REF!</v>
      </c>
      <c r="HW53" s="1" t="e">
        <f>AND(#REF!,"AAAAAD7Sz+Y=")</f>
        <v>#REF!</v>
      </c>
      <c r="HX53" s="1" t="e">
        <f>AND(#REF!,"AAAAAD7Sz+c=")</f>
        <v>#REF!</v>
      </c>
      <c r="HY53" s="1" t="e">
        <f>AND(#REF!,"AAAAAD7Sz+g=")</f>
        <v>#REF!</v>
      </c>
      <c r="HZ53" s="1" t="e">
        <f>AND(#REF!,"AAAAAD7Sz+k=")</f>
        <v>#REF!</v>
      </c>
      <c r="IA53" s="1" t="e">
        <f>AND(#REF!,"AAAAAD7Sz+o=")</f>
        <v>#REF!</v>
      </c>
      <c r="IB53" s="1" t="e">
        <f>AND(#REF!,"AAAAAD7Sz+s=")</f>
        <v>#REF!</v>
      </c>
      <c r="IC53" s="1" t="e">
        <f>AND(#REF!,"AAAAAD7Sz+w=")</f>
        <v>#REF!</v>
      </c>
      <c r="ID53" s="1" t="e">
        <f>AND(#REF!,"AAAAAD7Sz+0=")</f>
        <v>#REF!</v>
      </c>
      <c r="IE53" s="1" t="e">
        <f>AND(#REF!,"AAAAAD7Sz+4=")</f>
        <v>#REF!</v>
      </c>
      <c r="IF53" s="1" t="e">
        <f>AND(#REF!,"AAAAAD7Sz+8=")</f>
        <v>#REF!</v>
      </c>
      <c r="IG53" s="1" t="e">
        <f>AND(#REF!,"AAAAAD7Sz/A=")</f>
        <v>#REF!</v>
      </c>
      <c r="IH53" s="1" t="e">
        <f>AND(#REF!,"AAAAAD7Sz/E=")</f>
        <v>#REF!</v>
      </c>
      <c r="II53" s="1" t="e">
        <f>AND(#REF!,"AAAAAD7Sz/I=")</f>
        <v>#REF!</v>
      </c>
      <c r="IJ53" s="1" t="e">
        <f>AND(#REF!,"AAAAAD7Sz/M=")</f>
        <v>#REF!</v>
      </c>
      <c r="IK53" s="1" t="e">
        <f>AND(#REF!,"AAAAAD7Sz/Q=")</f>
        <v>#REF!</v>
      </c>
      <c r="IL53" s="1" t="e">
        <f>AND(#REF!,"AAAAAD7Sz/U=")</f>
        <v>#REF!</v>
      </c>
      <c r="IM53" s="1" t="e">
        <f>AND(#REF!,"AAAAAD7Sz/Y=")</f>
        <v>#REF!</v>
      </c>
      <c r="IN53" s="1" t="e">
        <f>IF(#REF!,"AAAAAD7Sz/c=",0)</f>
        <v>#REF!</v>
      </c>
      <c r="IO53" s="1" t="e">
        <f>AND(#REF!,"AAAAAD7Sz/g=")</f>
        <v>#REF!</v>
      </c>
      <c r="IP53" s="1" t="e">
        <f>AND(#REF!,"AAAAAD7Sz/k=")</f>
        <v>#REF!</v>
      </c>
      <c r="IQ53" s="1" t="e">
        <f>AND(#REF!,"AAAAAD7Sz/o=")</f>
        <v>#REF!</v>
      </c>
      <c r="IR53" s="1" t="e">
        <f>AND(#REF!,"AAAAAD7Sz/s=")</f>
        <v>#REF!</v>
      </c>
      <c r="IS53" s="1" t="e">
        <f>AND(#REF!,"AAAAAD7Sz/w=")</f>
        <v>#REF!</v>
      </c>
      <c r="IT53" s="1" t="e">
        <f>AND(#REF!,"AAAAAD7Sz/0=")</f>
        <v>#REF!</v>
      </c>
      <c r="IU53" s="1" t="e">
        <f>AND(#REF!,"AAAAAD7Sz/4=")</f>
        <v>#REF!</v>
      </c>
      <c r="IV53" s="1" t="e">
        <f>AND(#REF!,"AAAAAD7Sz/8=")</f>
        <v>#REF!</v>
      </c>
    </row>
    <row r="54" spans="1:256" ht="15" customHeight="1" x14ac:dyDescent="0.2">
      <c r="A54" s="1" t="e">
        <f>AND(#REF!,"AAAAAFv3sgA=")</f>
        <v>#REF!</v>
      </c>
      <c r="B54" s="1" t="e">
        <f>AND(#REF!,"AAAAAFv3sgE=")</f>
        <v>#REF!</v>
      </c>
      <c r="C54" s="1" t="e">
        <f>AND(#REF!,"AAAAAFv3sgI=")</f>
        <v>#REF!</v>
      </c>
      <c r="D54" s="1" t="e">
        <f>AND(#REF!,"AAAAAFv3sgM=")</f>
        <v>#REF!</v>
      </c>
      <c r="E54" s="1" t="e">
        <f>AND(#REF!,"AAAAAFv3sgQ=")</f>
        <v>#REF!</v>
      </c>
      <c r="F54" s="1" t="e">
        <f>AND(#REF!,"AAAAAFv3sgU=")</f>
        <v>#REF!</v>
      </c>
      <c r="G54" s="1" t="e">
        <f>AND(#REF!,"AAAAAFv3sgY=")</f>
        <v>#REF!</v>
      </c>
      <c r="H54" s="1" t="e">
        <f>AND(#REF!,"AAAAAFv3sgc=")</f>
        <v>#REF!</v>
      </c>
      <c r="I54" s="1" t="e">
        <f>AND(#REF!,"AAAAAFv3sgg=")</f>
        <v>#REF!</v>
      </c>
      <c r="J54" s="1" t="e">
        <f>AND(#REF!,"AAAAAFv3sgk=")</f>
        <v>#REF!</v>
      </c>
      <c r="K54" s="1" t="e">
        <f>AND(#REF!,"AAAAAFv3sgo=")</f>
        <v>#REF!</v>
      </c>
      <c r="L54" s="1" t="e">
        <f>AND(#REF!,"AAAAAFv3sgs=")</f>
        <v>#REF!</v>
      </c>
      <c r="M54" s="1" t="e">
        <f>AND(#REF!,"AAAAAFv3sgw=")</f>
        <v>#REF!</v>
      </c>
      <c r="N54" s="1" t="e">
        <f>AND(#REF!,"AAAAAFv3sg0=")</f>
        <v>#REF!</v>
      </c>
      <c r="O54" s="1" t="e">
        <f>AND(#REF!,"AAAAAFv3sg4=")</f>
        <v>#REF!</v>
      </c>
      <c r="P54" s="1" t="e">
        <f>AND(#REF!,"AAAAAFv3sg8=")</f>
        <v>#REF!</v>
      </c>
      <c r="Q54" s="1" t="e">
        <f>AND(#REF!,"AAAAAFv3shA=")</f>
        <v>#REF!</v>
      </c>
      <c r="R54" s="1" t="e">
        <f>IF(#REF!,"AAAAAFv3shE=",0)</f>
        <v>#REF!</v>
      </c>
      <c r="S54" s="1" t="e">
        <f>AND(#REF!,"AAAAAFv3shI=")</f>
        <v>#REF!</v>
      </c>
      <c r="T54" s="1" t="e">
        <f>AND(#REF!,"AAAAAFv3shM=")</f>
        <v>#REF!</v>
      </c>
      <c r="U54" s="1" t="e">
        <f>AND(#REF!,"AAAAAFv3shQ=")</f>
        <v>#REF!</v>
      </c>
      <c r="V54" s="1" t="e">
        <f>AND(#REF!,"AAAAAFv3shU=")</f>
        <v>#REF!</v>
      </c>
      <c r="W54" s="1" t="e">
        <f>AND(#REF!,"AAAAAFv3shY=")</f>
        <v>#REF!</v>
      </c>
      <c r="X54" s="1" t="e">
        <f>AND(#REF!,"AAAAAFv3shc=")</f>
        <v>#REF!</v>
      </c>
      <c r="Y54" s="1" t="e">
        <f>AND(#REF!,"AAAAAFv3shg=")</f>
        <v>#REF!</v>
      </c>
      <c r="Z54" s="1" t="e">
        <f>AND(#REF!,"AAAAAFv3shk=")</f>
        <v>#REF!</v>
      </c>
      <c r="AA54" s="1" t="e">
        <f>AND(#REF!,"AAAAAFv3sho=")</f>
        <v>#REF!</v>
      </c>
      <c r="AB54" s="1" t="e">
        <f>AND(#REF!,"AAAAAFv3shs=")</f>
        <v>#REF!</v>
      </c>
      <c r="AC54" s="1" t="e">
        <f>AND(#REF!,"AAAAAFv3shw=")</f>
        <v>#REF!</v>
      </c>
      <c r="AD54" s="1" t="e">
        <f>AND(#REF!,"AAAAAFv3sh0=")</f>
        <v>#REF!</v>
      </c>
      <c r="AE54" s="1" t="e">
        <f>AND(#REF!,"AAAAAFv3sh4=")</f>
        <v>#REF!</v>
      </c>
      <c r="AF54" s="1" t="e">
        <f>AND(#REF!,"AAAAAFv3sh8=")</f>
        <v>#REF!</v>
      </c>
      <c r="AG54" s="1" t="e">
        <f>AND(#REF!,"AAAAAFv3siA=")</f>
        <v>#REF!</v>
      </c>
      <c r="AH54" s="1" t="e">
        <f>AND(#REF!,"AAAAAFv3siE=")</f>
        <v>#REF!</v>
      </c>
      <c r="AI54" s="1" t="e">
        <f>AND(#REF!,"AAAAAFv3siI=")</f>
        <v>#REF!</v>
      </c>
      <c r="AJ54" s="1" t="e">
        <f>AND(#REF!,"AAAAAFv3siM=")</f>
        <v>#REF!</v>
      </c>
      <c r="AK54" s="1" t="e">
        <f>AND(#REF!,"AAAAAFv3siQ=")</f>
        <v>#REF!</v>
      </c>
      <c r="AL54" s="1" t="e">
        <f>AND(#REF!,"AAAAAFv3siU=")</f>
        <v>#REF!</v>
      </c>
      <c r="AM54" s="1" t="e">
        <f>AND(#REF!,"AAAAAFv3siY=")</f>
        <v>#REF!</v>
      </c>
      <c r="AN54" s="1" t="e">
        <f>AND(#REF!,"AAAAAFv3sic=")</f>
        <v>#REF!</v>
      </c>
      <c r="AO54" s="1" t="e">
        <f>AND(#REF!,"AAAAAFv3sig=")</f>
        <v>#REF!</v>
      </c>
      <c r="AP54" s="1" t="e">
        <f>AND(#REF!,"AAAAAFv3sik=")</f>
        <v>#REF!</v>
      </c>
      <c r="AQ54" s="1" t="e">
        <f>AND(#REF!,"AAAAAFv3sio=")</f>
        <v>#REF!</v>
      </c>
      <c r="AR54" s="1" t="e">
        <f>IF(#REF!,"AAAAAFv3sis=",0)</f>
        <v>#REF!</v>
      </c>
      <c r="AS54" s="1" t="e">
        <f>AND(#REF!,"AAAAAFv3siw=")</f>
        <v>#REF!</v>
      </c>
      <c r="AT54" s="1" t="e">
        <f>AND(#REF!,"AAAAAFv3si0=")</f>
        <v>#REF!</v>
      </c>
      <c r="AU54" s="1" t="e">
        <f>AND(#REF!,"AAAAAFv3si4=")</f>
        <v>#REF!</v>
      </c>
      <c r="AV54" s="1" t="e">
        <f>AND(#REF!,"AAAAAFv3si8=")</f>
        <v>#REF!</v>
      </c>
      <c r="AW54" s="1" t="e">
        <f>AND(#REF!,"AAAAAFv3sjA=")</f>
        <v>#REF!</v>
      </c>
      <c r="AX54" s="1" t="e">
        <f>AND(#REF!,"AAAAAFv3sjE=")</f>
        <v>#REF!</v>
      </c>
      <c r="AY54" s="1" t="e">
        <f>AND(#REF!,"AAAAAFv3sjI=")</f>
        <v>#REF!</v>
      </c>
      <c r="AZ54" s="1" t="e">
        <f>AND(#REF!,"AAAAAFv3sjM=")</f>
        <v>#REF!</v>
      </c>
      <c r="BA54" s="1" t="e">
        <f>AND(#REF!,"AAAAAFv3sjQ=")</f>
        <v>#REF!</v>
      </c>
      <c r="BB54" s="1" t="e">
        <f>AND(#REF!,"AAAAAFv3sjU=")</f>
        <v>#REF!</v>
      </c>
      <c r="BC54" s="1" t="e">
        <f>AND(#REF!,"AAAAAFv3sjY=")</f>
        <v>#REF!</v>
      </c>
      <c r="BD54" s="1" t="e">
        <f>AND(#REF!,"AAAAAFv3sjc=")</f>
        <v>#REF!</v>
      </c>
      <c r="BE54" s="1" t="e">
        <f>AND(#REF!,"AAAAAFv3sjg=")</f>
        <v>#REF!</v>
      </c>
      <c r="BF54" s="1" t="e">
        <f>AND(#REF!,"AAAAAFv3sjk=")</f>
        <v>#REF!</v>
      </c>
      <c r="BG54" s="1" t="e">
        <f>AND(#REF!,"AAAAAFv3sjo=")</f>
        <v>#REF!</v>
      </c>
      <c r="BH54" s="1" t="e">
        <f>AND(#REF!,"AAAAAFv3sjs=")</f>
        <v>#REF!</v>
      </c>
      <c r="BI54" s="1" t="e">
        <f>AND(#REF!,"AAAAAFv3sjw=")</f>
        <v>#REF!</v>
      </c>
      <c r="BJ54" s="1" t="e">
        <f>AND(#REF!,"AAAAAFv3sj0=")</f>
        <v>#REF!</v>
      </c>
      <c r="BK54" s="1" t="e">
        <f>AND(#REF!,"AAAAAFv3sj4=")</f>
        <v>#REF!</v>
      </c>
      <c r="BL54" s="1" t="e">
        <f>AND(#REF!,"AAAAAFv3sj8=")</f>
        <v>#REF!</v>
      </c>
      <c r="BM54" s="1" t="e">
        <f>AND(#REF!,"AAAAAFv3skA=")</f>
        <v>#REF!</v>
      </c>
      <c r="BN54" s="1" t="e">
        <f>AND(#REF!,"AAAAAFv3skE=")</f>
        <v>#REF!</v>
      </c>
      <c r="BO54" s="1" t="e">
        <f>AND(#REF!,"AAAAAFv3skI=")</f>
        <v>#REF!</v>
      </c>
      <c r="BP54" s="1" t="e">
        <f>AND(#REF!,"AAAAAFv3skM=")</f>
        <v>#REF!</v>
      </c>
      <c r="BQ54" s="1" t="e">
        <f>AND(#REF!,"AAAAAFv3skQ=")</f>
        <v>#REF!</v>
      </c>
      <c r="BR54" s="1" t="e">
        <f>IF(#REF!,"AAAAAFv3skU=",0)</f>
        <v>#REF!</v>
      </c>
      <c r="BS54" s="1" t="e">
        <f>AND(#REF!,"AAAAAFv3skY=")</f>
        <v>#REF!</v>
      </c>
      <c r="BT54" s="1" t="e">
        <f>AND(#REF!,"AAAAAFv3skc=")</f>
        <v>#REF!</v>
      </c>
      <c r="BU54" s="1" t="e">
        <f>AND(#REF!,"AAAAAFv3skg=")</f>
        <v>#REF!</v>
      </c>
      <c r="BV54" s="1" t="e">
        <f>AND(#REF!,"AAAAAFv3skk=")</f>
        <v>#REF!</v>
      </c>
      <c r="BW54" s="1" t="e">
        <f>AND(#REF!,"AAAAAFv3sko=")</f>
        <v>#REF!</v>
      </c>
      <c r="BX54" s="1" t="e">
        <f>AND(#REF!,"AAAAAFv3sks=")</f>
        <v>#REF!</v>
      </c>
      <c r="BY54" s="1" t="e">
        <f>AND(#REF!,"AAAAAFv3skw=")</f>
        <v>#REF!</v>
      </c>
      <c r="BZ54" s="1" t="e">
        <f>AND(#REF!,"AAAAAFv3sk0=")</f>
        <v>#REF!</v>
      </c>
      <c r="CA54" s="1" t="e">
        <f>AND(#REF!,"AAAAAFv3sk4=")</f>
        <v>#REF!</v>
      </c>
      <c r="CB54" s="1" t="e">
        <f>AND(#REF!,"AAAAAFv3sk8=")</f>
        <v>#REF!</v>
      </c>
      <c r="CC54" s="1" t="e">
        <f>AND(#REF!,"AAAAAFv3slA=")</f>
        <v>#REF!</v>
      </c>
      <c r="CD54" s="1" t="e">
        <f>AND(#REF!,"AAAAAFv3slE=")</f>
        <v>#REF!</v>
      </c>
      <c r="CE54" s="1" t="e">
        <f>AND(#REF!,"AAAAAFv3slI=")</f>
        <v>#REF!</v>
      </c>
      <c r="CF54" s="1" t="e">
        <f>AND(#REF!,"AAAAAFv3slM=")</f>
        <v>#REF!</v>
      </c>
      <c r="CG54" s="1" t="e">
        <f>AND(#REF!,"AAAAAFv3slQ=")</f>
        <v>#REF!</v>
      </c>
      <c r="CH54" s="1" t="e">
        <f>AND(#REF!,"AAAAAFv3slU=")</f>
        <v>#REF!</v>
      </c>
      <c r="CI54" s="1" t="e">
        <f>AND(#REF!,"AAAAAFv3slY=")</f>
        <v>#REF!</v>
      </c>
      <c r="CJ54" s="1" t="e">
        <f>AND(#REF!,"AAAAAFv3slc=")</f>
        <v>#REF!</v>
      </c>
      <c r="CK54" s="1" t="e">
        <f>AND(#REF!,"AAAAAFv3slg=")</f>
        <v>#REF!</v>
      </c>
      <c r="CL54" s="1" t="e">
        <f>AND(#REF!,"AAAAAFv3slk=")</f>
        <v>#REF!</v>
      </c>
      <c r="CM54" s="1" t="e">
        <f>AND(#REF!,"AAAAAFv3slo=")</f>
        <v>#REF!</v>
      </c>
      <c r="CN54" s="1" t="e">
        <f>AND(#REF!,"AAAAAFv3sls=")</f>
        <v>#REF!</v>
      </c>
      <c r="CO54" s="1" t="e">
        <f>AND(#REF!,"AAAAAFv3slw=")</f>
        <v>#REF!</v>
      </c>
      <c r="CP54" s="1" t="e">
        <f>AND(#REF!,"AAAAAFv3sl0=")</f>
        <v>#REF!</v>
      </c>
      <c r="CQ54" s="1" t="e">
        <f>AND(#REF!,"AAAAAFv3sl4=")</f>
        <v>#REF!</v>
      </c>
      <c r="CR54" s="1" t="e">
        <f>IF(#REF!,"AAAAAFv3sl8=",0)</f>
        <v>#REF!</v>
      </c>
      <c r="CS54" s="1" t="e">
        <f>AND(#REF!,"AAAAAFv3smA=")</f>
        <v>#REF!</v>
      </c>
      <c r="CT54" s="1" t="e">
        <f>AND(#REF!,"AAAAAFv3smE=")</f>
        <v>#REF!</v>
      </c>
      <c r="CU54" s="1" t="e">
        <f>AND(#REF!,"AAAAAFv3smI=")</f>
        <v>#REF!</v>
      </c>
      <c r="CV54" s="1" t="e">
        <f>AND(#REF!,"AAAAAFv3smM=")</f>
        <v>#REF!</v>
      </c>
      <c r="CW54" s="1" t="e">
        <f>AND(#REF!,"AAAAAFv3smQ=")</f>
        <v>#REF!</v>
      </c>
      <c r="CX54" s="1" t="e">
        <f>AND(#REF!,"AAAAAFv3smU=")</f>
        <v>#REF!</v>
      </c>
      <c r="CY54" s="1" t="e">
        <f>AND(#REF!,"AAAAAFv3smY=")</f>
        <v>#REF!</v>
      </c>
      <c r="CZ54" s="1" t="e">
        <f>AND(#REF!,"AAAAAFv3smc=")</f>
        <v>#REF!</v>
      </c>
      <c r="DA54" s="1" t="e">
        <f>AND(#REF!,"AAAAAFv3smg=")</f>
        <v>#REF!</v>
      </c>
      <c r="DB54" s="1" t="e">
        <f>AND(#REF!,"AAAAAFv3smk=")</f>
        <v>#REF!</v>
      </c>
      <c r="DC54" s="1" t="e">
        <f>AND(#REF!,"AAAAAFv3smo=")</f>
        <v>#REF!</v>
      </c>
      <c r="DD54" s="1" t="e">
        <f>AND(#REF!,"AAAAAFv3sms=")</f>
        <v>#REF!</v>
      </c>
      <c r="DE54" s="1" t="e">
        <f>AND(#REF!,"AAAAAFv3smw=")</f>
        <v>#REF!</v>
      </c>
      <c r="DF54" s="1" t="e">
        <f>AND(#REF!,"AAAAAFv3sm0=")</f>
        <v>#REF!</v>
      </c>
      <c r="DG54" s="1" t="e">
        <f>AND(#REF!,"AAAAAFv3sm4=")</f>
        <v>#REF!</v>
      </c>
      <c r="DH54" s="1" t="e">
        <f>AND(#REF!,"AAAAAFv3sm8=")</f>
        <v>#REF!</v>
      </c>
      <c r="DI54" s="1" t="e">
        <f>AND(#REF!,"AAAAAFv3snA=")</f>
        <v>#REF!</v>
      </c>
      <c r="DJ54" s="1" t="e">
        <f>AND(#REF!,"AAAAAFv3snE=")</f>
        <v>#REF!</v>
      </c>
      <c r="DK54" s="1" t="e">
        <f>AND(#REF!,"AAAAAFv3snI=")</f>
        <v>#REF!</v>
      </c>
      <c r="DL54" s="1" t="e">
        <f>AND(#REF!,"AAAAAFv3snM=")</f>
        <v>#REF!</v>
      </c>
      <c r="DM54" s="1" t="e">
        <f>AND(#REF!,"AAAAAFv3snQ=")</f>
        <v>#REF!</v>
      </c>
      <c r="DN54" s="1" t="e">
        <f>AND(#REF!,"AAAAAFv3snU=")</f>
        <v>#REF!</v>
      </c>
      <c r="DO54" s="1" t="e">
        <f>AND(#REF!,"AAAAAFv3snY=")</f>
        <v>#REF!</v>
      </c>
      <c r="DP54" s="1" t="e">
        <f>AND(#REF!,"AAAAAFv3snc=")</f>
        <v>#REF!</v>
      </c>
      <c r="DQ54" s="1" t="e">
        <f>AND(#REF!,"AAAAAFv3sng=")</f>
        <v>#REF!</v>
      </c>
      <c r="DR54" s="1" t="e">
        <f>IF(#REF!,"AAAAAFv3snk=",0)</f>
        <v>#REF!</v>
      </c>
      <c r="DS54" s="1" t="e">
        <f>AND(#REF!,"AAAAAFv3sno=")</f>
        <v>#REF!</v>
      </c>
      <c r="DT54" s="1" t="e">
        <f>AND(#REF!,"AAAAAFv3sns=")</f>
        <v>#REF!</v>
      </c>
      <c r="DU54" s="1" t="e">
        <f>AND(#REF!,"AAAAAFv3snw=")</f>
        <v>#REF!</v>
      </c>
      <c r="DV54" s="1" t="e">
        <f>AND(#REF!,"AAAAAFv3sn0=")</f>
        <v>#REF!</v>
      </c>
      <c r="DW54" s="1" t="e">
        <f>AND(#REF!,"AAAAAFv3sn4=")</f>
        <v>#REF!</v>
      </c>
      <c r="DX54" s="1" t="e">
        <f>AND(#REF!,"AAAAAFv3sn8=")</f>
        <v>#REF!</v>
      </c>
      <c r="DY54" s="1" t="e">
        <f>AND(#REF!,"AAAAAFv3soA=")</f>
        <v>#REF!</v>
      </c>
      <c r="DZ54" s="1" t="e">
        <f>AND(#REF!,"AAAAAFv3soE=")</f>
        <v>#REF!</v>
      </c>
      <c r="EA54" s="1" t="e">
        <f>AND(#REF!,"AAAAAFv3soI=")</f>
        <v>#REF!</v>
      </c>
      <c r="EB54" s="1" t="e">
        <f>AND(#REF!,"AAAAAFv3soM=")</f>
        <v>#REF!</v>
      </c>
      <c r="EC54" s="1" t="e">
        <f>AND(#REF!,"AAAAAFv3soQ=")</f>
        <v>#REF!</v>
      </c>
      <c r="ED54" s="1" t="e">
        <f>AND(#REF!,"AAAAAFv3soU=")</f>
        <v>#REF!</v>
      </c>
      <c r="EE54" s="1" t="e">
        <f>AND(#REF!,"AAAAAFv3soY=")</f>
        <v>#REF!</v>
      </c>
      <c r="EF54" s="1" t="e">
        <f>AND(#REF!,"AAAAAFv3soc=")</f>
        <v>#REF!</v>
      </c>
      <c r="EG54" s="1" t="e">
        <f>AND(#REF!,"AAAAAFv3sog=")</f>
        <v>#REF!</v>
      </c>
      <c r="EH54" s="1" t="e">
        <f>AND(#REF!,"AAAAAFv3sok=")</f>
        <v>#REF!</v>
      </c>
      <c r="EI54" s="1" t="e">
        <f>AND(#REF!,"AAAAAFv3soo=")</f>
        <v>#REF!</v>
      </c>
      <c r="EJ54" s="1" t="e">
        <f>AND(#REF!,"AAAAAFv3sos=")</f>
        <v>#REF!</v>
      </c>
      <c r="EK54" s="1" t="e">
        <f>AND(#REF!,"AAAAAFv3sow=")</f>
        <v>#REF!</v>
      </c>
      <c r="EL54" s="1" t="e">
        <f>AND(#REF!,"AAAAAFv3so0=")</f>
        <v>#REF!</v>
      </c>
      <c r="EM54" s="1" t="e">
        <f>AND(#REF!,"AAAAAFv3so4=")</f>
        <v>#REF!</v>
      </c>
      <c r="EN54" s="1" t="e">
        <f>AND(#REF!,"AAAAAFv3so8=")</f>
        <v>#REF!</v>
      </c>
      <c r="EO54" s="1" t="e">
        <f>AND(#REF!,"AAAAAFv3spA=")</f>
        <v>#REF!</v>
      </c>
      <c r="EP54" s="1" t="e">
        <f>AND(#REF!,"AAAAAFv3spE=")</f>
        <v>#REF!</v>
      </c>
      <c r="EQ54" s="1" t="e">
        <f>AND(#REF!,"AAAAAFv3spI=")</f>
        <v>#REF!</v>
      </c>
      <c r="ER54" s="1" t="e">
        <f>IF(#REF!,"AAAAAFv3spM=",0)</f>
        <v>#REF!</v>
      </c>
      <c r="ES54" s="1" t="e">
        <f>AND(#REF!,"AAAAAFv3spQ=")</f>
        <v>#REF!</v>
      </c>
      <c r="ET54" s="1" t="e">
        <f>AND(#REF!,"AAAAAFv3spU=")</f>
        <v>#REF!</v>
      </c>
      <c r="EU54" s="1" t="e">
        <f>AND(#REF!,"AAAAAFv3spY=")</f>
        <v>#REF!</v>
      </c>
      <c r="EV54" s="1" t="e">
        <f>AND(#REF!,"AAAAAFv3spc=")</f>
        <v>#REF!</v>
      </c>
      <c r="EW54" s="1" t="e">
        <f>AND(#REF!,"AAAAAFv3spg=")</f>
        <v>#REF!</v>
      </c>
      <c r="EX54" s="1" t="e">
        <f>AND(#REF!,"AAAAAFv3spk=")</f>
        <v>#REF!</v>
      </c>
      <c r="EY54" s="1" t="e">
        <f>AND(#REF!,"AAAAAFv3spo=")</f>
        <v>#REF!</v>
      </c>
      <c r="EZ54" s="1" t="e">
        <f>AND(#REF!,"AAAAAFv3sps=")</f>
        <v>#REF!</v>
      </c>
      <c r="FA54" s="1" t="e">
        <f>AND(#REF!,"AAAAAFv3spw=")</f>
        <v>#REF!</v>
      </c>
      <c r="FB54" s="1" t="e">
        <f>AND(#REF!,"AAAAAFv3sp0=")</f>
        <v>#REF!</v>
      </c>
      <c r="FC54" s="1" t="e">
        <f>AND(#REF!,"AAAAAFv3sp4=")</f>
        <v>#REF!</v>
      </c>
      <c r="FD54" s="1" t="e">
        <f>AND(#REF!,"AAAAAFv3sp8=")</f>
        <v>#REF!</v>
      </c>
      <c r="FE54" s="1" t="e">
        <f>AND(#REF!,"AAAAAFv3sqA=")</f>
        <v>#REF!</v>
      </c>
      <c r="FF54" s="1" t="e">
        <f>AND(#REF!,"AAAAAFv3sqE=")</f>
        <v>#REF!</v>
      </c>
      <c r="FG54" s="1" t="e">
        <f>AND(#REF!,"AAAAAFv3sqI=")</f>
        <v>#REF!</v>
      </c>
      <c r="FH54" s="1" t="e">
        <f>AND(#REF!,"AAAAAFv3sqM=")</f>
        <v>#REF!</v>
      </c>
      <c r="FI54" s="1" t="e">
        <f>AND(#REF!,"AAAAAFv3sqQ=")</f>
        <v>#REF!</v>
      </c>
      <c r="FJ54" s="1" t="e">
        <f>AND(#REF!,"AAAAAFv3sqU=")</f>
        <v>#REF!</v>
      </c>
      <c r="FK54" s="1" t="e">
        <f>AND(#REF!,"AAAAAFv3sqY=")</f>
        <v>#REF!</v>
      </c>
      <c r="FL54" s="1" t="e">
        <f>AND(#REF!,"AAAAAFv3sqc=")</f>
        <v>#REF!</v>
      </c>
      <c r="FM54" s="1" t="e">
        <f>AND(#REF!,"AAAAAFv3sqg=")</f>
        <v>#REF!</v>
      </c>
      <c r="FN54" s="1" t="e">
        <f>AND(#REF!,"AAAAAFv3sqk=")</f>
        <v>#REF!</v>
      </c>
      <c r="FO54" s="1" t="e">
        <f>AND(#REF!,"AAAAAFv3sqo=")</f>
        <v>#REF!</v>
      </c>
      <c r="FP54" s="1" t="e">
        <f>AND(#REF!,"AAAAAFv3sqs=")</f>
        <v>#REF!</v>
      </c>
      <c r="FQ54" s="1" t="e">
        <f>AND(#REF!,"AAAAAFv3sqw=")</f>
        <v>#REF!</v>
      </c>
      <c r="FR54" s="1" t="e">
        <f>IF(#REF!,"AAAAAFv3sq0=",0)</f>
        <v>#REF!</v>
      </c>
      <c r="FS54" s="1" t="e">
        <f>AND(#REF!,"AAAAAFv3sq4=")</f>
        <v>#REF!</v>
      </c>
      <c r="FT54" s="1" t="e">
        <f>AND(#REF!,"AAAAAFv3sq8=")</f>
        <v>#REF!</v>
      </c>
      <c r="FU54" s="1" t="e">
        <f>AND(#REF!,"AAAAAFv3srA=")</f>
        <v>#REF!</v>
      </c>
      <c r="FV54" s="1" t="e">
        <f>AND(#REF!,"AAAAAFv3srE=")</f>
        <v>#REF!</v>
      </c>
      <c r="FW54" s="1" t="e">
        <f>AND(#REF!,"AAAAAFv3srI=")</f>
        <v>#REF!</v>
      </c>
      <c r="FX54" s="1" t="e">
        <f>AND(#REF!,"AAAAAFv3srM=")</f>
        <v>#REF!</v>
      </c>
      <c r="FY54" s="1" t="e">
        <f>AND(#REF!,"AAAAAFv3srQ=")</f>
        <v>#REF!</v>
      </c>
      <c r="FZ54" s="1" t="e">
        <f>AND(#REF!,"AAAAAFv3srU=")</f>
        <v>#REF!</v>
      </c>
      <c r="GA54" s="1" t="e">
        <f>AND(#REF!,"AAAAAFv3srY=")</f>
        <v>#REF!</v>
      </c>
      <c r="GB54" s="1" t="e">
        <f>AND(#REF!,"AAAAAFv3src=")</f>
        <v>#REF!</v>
      </c>
      <c r="GC54" s="1" t="e">
        <f>AND(#REF!,"AAAAAFv3srg=")</f>
        <v>#REF!</v>
      </c>
      <c r="GD54" s="1" t="e">
        <f>AND(#REF!,"AAAAAFv3srk=")</f>
        <v>#REF!</v>
      </c>
      <c r="GE54" s="1" t="e">
        <f>AND(#REF!,"AAAAAFv3sro=")</f>
        <v>#REF!</v>
      </c>
      <c r="GF54" s="1" t="e">
        <f>AND(#REF!,"AAAAAFv3srs=")</f>
        <v>#REF!</v>
      </c>
      <c r="GG54" s="1" t="e">
        <f>AND(#REF!,"AAAAAFv3srw=")</f>
        <v>#REF!</v>
      </c>
      <c r="GH54" s="1" t="e">
        <f>AND(#REF!,"AAAAAFv3sr0=")</f>
        <v>#REF!</v>
      </c>
      <c r="GI54" s="1" t="e">
        <f>AND(#REF!,"AAAAAFv3sr4=")</f>
        <v>#REF!</v>
      </c>
      <c r="GJ54" s="1" t="e">
        <f>AND(#REF!,"AAAAAFv3sr8=")</f>
        <v>#REF!</v>
      </c>
      <c r="GK54" s="1" t="e">
        <f>AND(#REF!,"AAAAAFv3ssA=")</f>
        <v>#REF!</v>
      </c>
      <c r="GL54" s="1" t="e">
        <f>AND(#REF!,"AAAAAFv3ssE=")</f>
        <v>#REF!</v>
      </c>
      <c r="GM54" s="1" t="e">
        <f>AND(#REF!,"AAAAAFv3ssI=")</f>
        <v>#REF!</v>
      </c>
      <c r="GN54" s="1" t="e">
        <f>AND(#REF!,"AAAAAFv3ssM=")</f>
        <v>#REF!</v>
      </c>
      <c r="GO54" s="1" t="e">
        <f>AND(#REF!,"AAAAAFv3ssQ=")</f>
        <v>#REF!</v>
      </c>
      <c r="GP54" s="1" t="e">
        <f>AND(#REF!,"AAAAAFv3ssU=")</f>
        <v>#REF!</v>
      </c>
      <c r="GQ54" s="1" t="e">
        <f>AND(#REF!,"AAAAAFv3ssY=")</f>
        <v>#REF!</v>
      </c>
      <c r="GR54" s="1" t="e">
        <f>IF(#REF!,"AAAAAFv3ssc=",0)</f>
        <v>#REF!</v>
      </c>
      <c r="GS54" s="1" t="e">
        <f>AND(#REF!,"AAAAAFv3ssg=")</f>
        <v>#REF!</v>
      </c>
      <c r="GT54" s="1" t="e">
        <f>AND(#REF!,"AAAAAFv3ssk=")</f>
        <v>#REF!</v>
      </c>
      <c r="GU54" s="1" t="e">
        <f>AND(#REF!,"AAAAAFv3sso=")</f>
        <v>#REF!</v>
      </c>
      <c r="GV54" s="1" t="e">
        <f>AND(#REF!,"AAAAAFv3sss=")</f>
        <v>#REF!</v>
      </c>
      <c r="GW54" s="1" t="e">
        <f>AND(#REF!,"AAAAAFv3ssw=")</f>
        <v>#REF!</v>
      </c>
      <c r="GX54" s="1" t="e">
        <f>AND(#REF!,"AAAAAFv3ss0=")</f>
        <v>#REF!</v>
      </c>
      <c r="GY54" s="1" t="e">
        <f>AND(#REF!,"AAAAAFv3ss4=")</f>
        <v>#REF!</v>
      </c>
      <c r="GZ54" s="1" t="e">
        <f>AND(#REF!,"AAAAAFv3ss8=")</f>
        <v>#REF!</v>
      </c>
      <c r="HA54" s="1" t="e">
        <f>AND(#REF!,"AAAAAFv3stA=")</f>
        <v>#REF!</v>
      </c>
      <c r="HB54" s="1" t="e">
        <f>AND(#REF!,"AAAAAFv3stE=")</f>
        <v>#REF!</v>
      </c>
      <c r="HC54" s="1" t="e">
        <f>AND(#REF!,"AAAAAFv3stI=")</f>
        <v>#REF!</v>
      </c>
      <c r="HD54" s="1" t="e">
        <f>AND(#REF!,"AAAAAFv3stM=")</f>
        <v>#REF!</v>
      </c>
      <c r="HE54" s="1" t="e">
        <f>AND(#REF!,"AAAAAFv3stQ=")</f>
        <v>#REF!</v>
      </c>
      <c r="HF54" s="1" t="e">
        <f>AND(#REF!,"AAAAAFv3stU=")</f>
        <v>#REF!</v>
      </c>
      <c r="HG54" s="1" t="e">
        <f>AND(#REF!,"AAAAAFv3stY=")</f>
        <v>#REF!</v>
      </c>
      <c r="HH54" s="1" t="e">
        <f>AND(#REF!,"AAAAAFv3stc=")</f>
        <v>#REF!</v>
      </c>
      <c r="HI54" s="1" t="e">
        <f>AND(#REF!,"AAAAAFv3stg=")</f>
        <v>#REF!</v>
      </c>
      <c r="HJ54" s="1" t="e">
        <f>AND(#REF!,"AAAAAFv3stk=")</f>
        <v>#REF!</v>
      </c>
      <c r="HK54" s="1" t="e">
        <f>AND(#REF!,"AAAAAFv3sto=")</f>
        <v>#REF!</v>
      </c>
      <c r="HL54" s="1" t="e">
        <f>AND(#REF!,"AAAAAFv3sts=")</f>
        <v>#REF!</v>
      </c>
      <c r="HM54" s="1" t="e">
        <f>AND(#REF!,"AAAAAFv3stw=")</f>
        <v>#REF!</v>
      </c>
      <c r="HN54" s="1" t="e">
        <f>AND(#REF!,"AAAAAFv3st0=")</f>
        <v>#REF!</v>
      </c>
      <c r="HO54" s="1" t="e">
        <f>AND(#REF!,"AAAAAFv3st4=")</f>
        <v>#REF!</v>
      </c>
      <c r="HP54" s="1" t="e">
        <f>AND(#REF!,"AAAAAFv3st8=")</f>
        <v>#REF!</v>
      </c>
      <c r="HQ54" s="1" t="e">
        <f>AND(#REF!,"AAAAAFv3suA=")</f>
        <v>#REF!</v>
      </c>
      <c r="HR54" s="1" t="e">
        <f>IF(#REF!,"AAAAAFv3suE=",0)</f>
        <v>#REF!</v>
      </c>
      <c r="HS54" s="1" t="e">
        <f>AND(#REF!,"AAAAAFv3suI=")</f>
        <v>#REF!</v>
      </c>
      <c r="HT54" s="1" t="e">
        <f>AND(#REF!,"AAAAAFv3suM=")</f>
        <v>#REF!</v>
      </c>
      <c r="HU54" s="1" t="e">
        <f>AND(#REF!,"AAAAAFv3suQ=")</f>
        <v>#REF!</v>
      </c>
      <c r="HV54" s="1" t="e">
        <f>AND(#REF!,"AAAAAFv3suU=")</f>
        <v>#REF!</v>
      </c>
      <c r="HW54" s="1" t="e">
        <f>AND(#REF!,"AAAAAFv3suY=")</f>
        <v>#REF!</v>
      </c>
      <c r="HX54" s="1" t="e">
        <f>AND(#REF!,"AAAAAFv3suc=")</f>
        <v>#REF!</v>
      </c>
      <c r="HY54" s="1" t="e">
        <f>AND(#REF!,"AAAAAFv3sug=")</f>
        <v>#REF!</v>
      </c>
      <c r="HZ54" s="1" t="e">
        <f>AND(#REF!,"AAAAAFv3suk=")</f>
        <v>#REF!</v>
      </c>
      <c r="IA54" s="1" t="e">
        <f>AND(#REF!,"AAAAAFv3suo=")</f>
        <v>#REF!</v>
      </c>
      <c r="IB54" s="1" t="e">
        <f>AND(#REF!,"AAAAAFv3sus=")</f>
        <v>#REF!</v>
      </c>
      <c r="IC54" s="1" t="e">
        <f>AND(#REF!,"AAAAAFv3suw=")</f>
        <v>#REF!</v>
      </c>
      <c r="ID54" s="1" t="e">
        <f>AND(#REF!,"AAAAAFv3su0=")</f>
        <v>#REF!</v>
      </c>
      <c r="IE54" s="1" t="e">
        <f>AND(#REF!,"AAAAAFv3su4=")</f>
        <v>#REF!</v>
      </c>
      <c r="IF54" s="1" t="e">
        <f>AND(#REF!,"AAAAAFv3su8=")</f>
        <v>#REF!</v>
      </c>
      <c r="IG54" s="1" t="e">
        <f>AND(#REF!,"AAAAAFv3svA=")</f>
        <v>#REF!</v>
      </c>
      <c r="IH54" s="1" t="e">
        <f>AND(#REF!,"AAAAAFv3svE=")</f>
        <v>#REF!</v>
      </c>
      <c r="II54" s="1" t="e">
        <f>AND(#REF!,"AAAAAFv3svI=")</f>
        <v>#REF!</v>
      </c>
      <c r="IJ54" s="1" t="e">
        <f>AND(#REF!,"AAAAAFv3svM=")</f>
        <v>#REF!</v>
      </c>
      <c r="IK54" s="1" t="e">
        <f>AND(#REF!,"AAAAAFv3svQ=")</f>
        <v>#REF!</v>
      </c>
      <c r="IL54" s="1" t="e">
        <f>AND(#REF!,"AAAAAFv3svU=")</f>
        <v>#REF!</v>
      </c>
      <c r="IM54" s="1" t="e">
        <f>AND(#REF!,"AAAAAFv3svY=")</f>
        <v>#REF!</v>
      </c>
      <c r="IN54" s="1" t="e">
        <f>AND(#REF!,"AAAAAFv3svc=")</f>
        <v>#REF!</v>
      </c>
      <c r="IO54" s="1" t="e">
        <f>AND(#REF!,"AAAAAFv3svg=")</f>
        <v>#REF!</v>
      </c>
      <c r="IP54" s="1" t="e">
        <f>AND(#REF!,"AAAAAFv3svk=")</f>
        <v>#REF!</v>
      </c>
      <c r="IQ54" s="1" t="e">
        <f>AND(#REF!,"AAAAAFv3svo=")</f>
        <v>#REF!</v>
      </c>
      <c r="IR54" s="1" t="e">
        <f>IF(#REF!,"AAAAAFv3svs=",0)</f>
        <v>#REF!</v>
      </c>
      <c r="IS54" s="1" t="e">
        <f>AND(#REF!,"AAAAAFv3svw=")</f>
        <v>#REF!</v>
      </c>
      <c r="IT54" s="1" t="e">
        <f>AND(#REF!,"AAAAAFv3sv0=")</f>
        <v>#REF!</v>
      </c>
      <c r="IU54" s="1" t="e">
        <f>AND(#REF!,"AAAAAFv3sv4=")</f>
        <v>#REF!</v>
      </c>
      <c r="IV54" s="1" t="e">
        <f>AND(#REF!,"AAAAAFv3sv8=")</f>
        <v>#REF!</v>
      </c>
    </row>
    <row r="55" spans="1:256" ht="15" customHeight="1" x14ac:dyDescent="0.2">
      <c r="A55" s="1" t="e">
        <f>AND(#REF!,"AAAAAH3/7wA=")</f>
        <v>#REF!</v>
      </c>
      <c r="B55" s="1" t="e">
        <f>AND(#REF!,"AAAAAH3/7wE=")</f>
        <v>#REF!</v>
      </c>
      <c r="C55" s="1" t="e">
        <f>AND(#REF!,"AAAAAH3/7wI=")</f>
        <v>#REF!</v>
      </c>
      <c r="D55" s="1" t="e">
        <f>AND(#REF!,"AAAAAH3/7wM=")</f>
        <v>#REF!</v>
      </c>
      <c r="E55" s="1" t="e">
        <f>AND(#REF!,"AAAAAH3/7wQ=")</f>
        <v>#REF!</v>
      </c>
      <c r="F55" s="1" t="e">
        <f>AND(#REF!,"AAAAAH3/7wU=")</f>
        <v>#REF!</v>
      </c>
      <c r="G55" s="1" t="e">
        <f>AND(#REF!,"AAAAAH3/7wY=")</f>
        <v>#REF!</v>
      </c>
      <c r="H55" s="1" t="e">
        <f>AND(#REF!,"AAAAAH3/7wc=")</f>
        <v>#REF!</v>
      </c>
      <c r="I55" s="1" t="e">
        <f>AND(#REF!,"AAAAAH3/7wg=")</f>
        <v>#REF!</v>
      </c>
      <c r="J55" s="1" t="e">
        <f>AND(#REF!,"AAAAAH3/7wk=")</f>
        <v>#REF!</v>
      </c>
      <c r="K55" s="1" t="e">
        <f>AND(#REF!,"AAAAAH3/7wo=")</f>
        <v>#REF!</v>
      </c>
      <c r="L55" s="1" t="e">
        <f>AND(#REF!,"AAAAAH3/7ws=")</f>
        <v>#REF!</v>
      </c>
      <c r="M55" s="1" t="e">
        <f>AND(#REF!,"AAAAAH3/7ww=")</f>
        <v>#REF!</v>
      </c>
      <c r="N55" s="1" t="e">
        <f>AND(#REF!,"AAAAAH3/7w0=")</f>
        <v>#REF!</v>
      </c>
      <c r="O55" s="1" t="e">
        <f>AND(#REF!,"AAAAAH3/7w4=")</f>
        <v>#REF!</v>
      </c>
      <c r="P55" s="1" t="e">
        <f>AND(#REF!,"AAAAAH3/7w8=")</f>
        <v>#REF!</v>
      </c>
      <c r="Q55" s="1" t="e">
        <f>AND(#REF!,"AAAAAH3/7xA=")</f>
        <v>#REF!</v>
      </c>
      <c r="R55" s="1" t="e">
        <f>AND(#REF!,"AAAAAH3/7xE=")</f>
        <v>#REF!</v>
      </c>
      <c r="S55" s="1" t="e">
        <f>AND(#REF!,"AAAAAH3/7xI=")</f>
        <v>#REF!</v>
      </c>
      <c r="T55" s="1" t="e">
        <f>AND(#REF!,"AAAAAH3/7xM=")</f>
        <v>#REF!</v>
      </c>
      <c r="U55" s="1" t="e">
        <f>AND(#REF!,"AAAAAH3/7xQ=")</f>
        <v>#REF!</v>
      </c>
      <c r="V55" s="1" t="e">
        <f>IF(#REF!,"AAAAAH3/7xU=",0)</f>
        <v>#REF!</v>
      </c>
      <c r="W55" s="1" t="e">
        <f>AND(#REF!,"AAAAAH3/7xY=")</f>
        <v>#REF!</v>
      </c>
      <c r="X55" s="1" t="e">
        <f>AND(#REF!,"AAAAAH3/7xc=")</f>
        <v>#REF!</v>
      </c>
      <c r="Y55" s="1" t="e">
        <f>AND(#REF!,"AAAAAH3/7xg=")</f>
        <v>#REF!</v>
      </c>
      <c r="Z55" s="1" t="e">
        <f>AND(#REF!,"AAAAAH3/7xk=")</f>
        <v>#REF!</v>
      </c>
      <c r="AA55" s="1" t="e">
        <f>AND(#REF!,"AAAAAH3/7xo=")</f>
        <v>#REF!</v>
      </c>
      <c r="AB55" s="1" t="e">
        <f>AND(#REF!,"AAAAAH3/7xs=")</f>
        <v>#REF!</v>
      </c>
      <c r="AC55" s="1" t="e">
        <f>AND(#REF!,"AAAAAH3/7xw=")</f>
        <v>#REF!</v>
      </c>
      <c r="AD55" s="1" t="e">
        <f>AND(#REF!,"AAAAAH3/7x0=")</f>
        <v>#REF!</v>
      </c>
      <c r="AE55" s="1" t="e">
        <f>AND(#REF!,"AAAAAH3/7x4=")</f>
        <v>#REF!</v>
      </c>
      <c r="AF55" s="1" t="e">
        <f>AND(#REF!,"AAAAAH3/7x8=")</f>
        <v>#REF!</v>
      </c>
      <c r="AG55" s="1" t="e">
        <f>AND(#REF!,"AAAAAH3/7yA=")</f>
        <v>#REF!</v>
      </c>
      <c r="AH55" s="1" t="e">
        <f>AND(#REF!,"AAAAAH3/7yE=")</f>
        <v>#REF!</v>
      </c>
      <c r="AI55" s="1" t="e">
        <f>AND(#REF!,"AAAAAH3/7yI=")</f>
        <v>#REF!</v>
      </c>
      <c r="AJ55" s="1" t="e">
        <f>AND(#REF!,"AAAAAH3/7yM=")</f>
        <v>#REF!</v>
      </c>
      <c r="AK55" s="1" t="e">
        <f>AND(#REF!,"AAAAAH3/7yQ=")</f>
        <v>#REF!</v>
      </c>
      <c r="AL55" s="1" t="e">
        <f>AND(#REF!,"AAAAAH3/7yU=")</f>
        <v>#REF!</v>
      </c>
      <c r="AM55" s="1" t="e">
        <f>AND(#REF!,"AAAAAH3/7yY=")</f>
        <v>#REF!</v>
      </c>
      <c r="AN55" s="1" t="e">
        <f>AND(#REF!,"AAAAAH3/7yc=")</f>
        <v>#REF!</v>
      </c>
      <c r="AO55" s="1" t="e">
        <f>AND(#REF!,"AAAAAH3/7yg=")</f>
        <v>#REF!</v>
      </c>
      <c r="AP55" s="1" t="e">
        <f>AND(#REF!,"AAAAAH3/7yk=")</f>
        <v>#REF!</v>
      </c>
      <c r="AQ55" s="1" t="e">
        <f>AND(#REF!,"AAAAAH3/7yo=")</f>
        <v>#REF!</v>
      </c>
      <c r="AR55" s="1" t="e">
        <f>AND(#REF!,"AAAAAH3/7ys=")</f>
        <v>#REF!</v>
      </c>
      <c r="AS55" s="1" t="e">
        <f>AND(#REF!,"AAAAAH3/7yw=")</f>
        <v>#REF!</v>
      </c>
      <c r="AT55" s="1" t="e">
        <f>AND(#REF!,"AAAAAH3/7y0=")</f>
        <v>#REF!</v>
      </c>
      <c r="AU55" s="1" t="e">
        <f>AND(#REF!,"AAAAAH3/7y4=")</f>
        <v>#REF!</v>
      </c>
      <c r="AV55" s="1" t="e">
        <f>IF(#REF!,"AAAAAH3/7y8=",0)</f>
        <v>#REF!</v>
      </c>
      <c r="AW55" s="1" t="e">
        <f>AND(#REF!,"AAAAAH3/7zA=")</f>
        <v>#REF!</v>
      </c>
      <c r="AX55" s="1" t="e">
        <f>AND(#REF!,"AAAAAH3/7zE=")</f>
        <v>#REF!</v>
      </c>
      <c r="AY55" s="1" t="e">
        <f>AND(#REF!,"AAAAAH3/7zI=")</f>
        <v>#REF!</v>
      </c>
      <c r="AZ55" s="1" t="e">
        <f>AND(#REF!,"AAAAAH3/7zM=")</f>
        <v>#REF!</v>
      </c>
      <c r="BA55" s="1" t="e">
        <f>AND(#REF!,"AAAAAH3/7zQ=")</f>
        <v>#REF!</v>
      </c>
      <c r="BB55" s="1" t="e">
        <f>AND(#REF!,"AAAAAH3/7zU=")</f>
        <v>#REF!</v>
      </c>
      <c r="BC55" s="1" t="e">
        <f>AND(#REF!,"AAAAAH3/7zY=")</f>
        <v>#REF!</v>
      </c>
      <c r="BD55" s="1" t="e">
        <f>AND(#REF!,"AAAAAH3/7zc=")</f>
        <v>#REF!</v>
      </c>
      <c r="BE55" s="1" t="e">
        <f>AND(#REF!,"AAAAAH3/7zg=")</f>
        <v>#REF!</v>
      </c>
      <c r="BF55" s="1" t="e">
        <f>AND(#REF!,"AAAAAH3/7zk=")</f>
        <v>#REF!</v>
      </c>
      <c r="BG55" s="1" t="e">
        <f>AND(#REF!,"AAAAAH3/7zo=")</f>
        <v>#REF!</v>
      </c>
      <c r="BH55" s="1" t="e">
        <f>AND(#REF!,"AAAAAH3/7zs=")</f>
        <v>#REF!</v>
      </c>
      <c r="BI55" s="1" t="e">
        <f>AND(#REF!,"AAAAAH3/7zw=")</f>
        <v>#REF!</v>
      </c>
      <c r="BJ55" s="1" t="e">
        <f>AND(#REF!,"AAAAAH3/7z0=")</f>
        <v>#REF!</v>
      </c>
      <c r="BK55" s="1" t="e">
        <f>AND(#REF!,"AAAAAH3/7z4=")</f>
        <v>#REF!</v>
      </c>
      <c r="BL55" s="1" t="e">
        <f>AND(#REF!,"AAAAAH3/7z8=")</f>
        <v>#REF!</v>
      </c>
      <c r="BM55" s="1" t="e">
        <f>AND(#REF!,"AAAAAH3/70A=")</f>
        <v>#REF!</v>
      </c>
      <c r="BN55" s="1" t="e">
        <f>AND(#REF!,"AAAAAH3/70E=")</f>
        <v>#REF!</v>
      </c>
      <c r="BO55" s="1" t="e">
        <f>AND(#REF!,"AAAAAH3/70I=")</f>
        <v>#REF!</v>
      </c>
      <c r="BP55" s="1" t="e">
        <f>AND(#REF!,"AAAAAH3/70M=")</f>
        <v>#REF!</v>
      </c>
      <c r="BQ55" s="1" t="e">
        <f>AND(#REF!,"AAAAAH3/70Q=")</f>
        <v>#REF!</v>
      </c>
      <c r="BR55" s="1" t="e">
        <f>AND(#REF!,"AAAAAH3/70U=")</f>
        <v>#REF!</v>
      </c>
      <c r="BS55" s="1" t="e">
        <f>AND(#REF!,"AAAAAH3/70Y=")</f>
        <v>#REF!</v>
      </c>
      <c r="BT55" s="1" t="e">
        <f>AND(#REF!,"AAAAAH3/70c=")</f>
        <v>#REF!</v>
      </c>
      <c r="BU55" s="1" t="e">
        <f>AND(#REF!,"AAAAAH3/70g=")</f>
        <v>#REF!</v>
      </c>
      <c r="BV55" s="1" t="e">
        <f>IF(#REF!,"AAAAAH3/70k=",0)</f>
        <v>#REF!</v>
      </c>
      <c r="BW55" s="1" t="e">
        <f>AND(#REF!,"AAAAAH3/70o=")</f>
        <v>#REF!</v>
      </c>
      <c r="BX55" s="1" t="e">
        <f>AND(#REF!,"AAAAAH3/70s=")</f>
        <v>#REF!</v>
      </c>
      <c r="BY55" s="1" t="e">
        <f>AND(#REF!,"AAAAAH3/70w=")</f>
        <v>#REF!</v>
      </c>
      <c r="BZ55" s="1" t="e">
        <f>AND(#REF!,"AAAAAH3/700=")</f>
        <v>#REF!</v>
      </c>
      <c r="CA55" s="1" t="e">
        <f>AND(#REF!,"AAAAAH3/704=")</f>
        <v>#REF!</v>
      </c>
      <c r="CB55" s="1" t="e">
        <f>AND(#REF!,"AAAAAH3/708=")</f>
        <v>#REF!</v>
      </c>
      <c r="CC55" s="1" t="e">
        <f>AND(#REF!,"AAAAAH3/71A=")</f>
        <v>#REF!</v>
      </c>
      <c r="CD55" s="1" t="e">
        <f>AND(#REF!,"AAAAAH3/71E=")</f>
        <v>#REF!</v>
      </c>
      <c r="CE55" s="1" t="e">
        <f>AND(#REF!,"AAAAAH3/71I=")</f>
        <v>#REF!</v>
      </c>
      <c r="CF55" s="1" t="e">
        <f>AND(#REF!,"AAAAAH3/71M=")</f>
        <v>#REF!</v>
      </c>
      <c r="CG55" s="1" t="e">
        <f>AND(#REF!,"AAAAAH3/71Q=")</f>
        <v>#REF!</v>
      </c>
      <c r="CH55" s="1" t="e">
        <f>AND(#REF!,"AAAAAH3/71U=")</f>
        <v>#REF!</v>
      </c>
      <c r="CI55" s="1" t="e">
        <f>AND(#REF!,"AAAAAH3/71Y=")</f>
        <v>#REF!</v>
      </c>
      <c r="CJ55" s="1" t="e">
        <f>AND(#REF!,"AAAAAH3/71c=")</f>
        <v>#REF!</v>
      </c>
      <c r="CK55" s="1" t="e">
        <f>AND(#REF!,"AAAAAH3/71g=")</f>
        <v>#REF!</v>
      </c>
      <c r="CL55" s="1" t="e">
        <f>AND(#REF!,"AAAAAH3/71k=")</f>
        <v>#REF!</v>
      </c>
      <c r="CM55" s="1" t="e">
        <f>AND(#REF!,"AAAAAH3/71o=")</f>
        <v>#REF!</v>
      </c>
      <c r="CN55" s="1" t="e">
        <f>AND(#REF!,"AAAAAH3/71s=")</f>
        <v>#REF!</v>
      </c>
      <c r="CO55" s="1" t="e">
        <f>AND(#REF!,"AAAAAH3/71w=")</f>
        <v>#REF!</v>
      </c>
      <c r="CP55" s="1" t="e">
        <f>AND(#REF!,"AAAAAH3/710=")</f>
        <v>#REF!</v>
      </c>
      <c r="CQ55" s="1" t="e">
        <f>AND(#REF!,"AAAAAH3/714=")</f>
        <v>#REF!</v>
      </c>
      <c r="CR55" s="1" t="e">
        <f>AND(#REF!,"AAAAAH3/718=")</f>
        <v>#REF!</v>
      </c>
      <c r="CS55" s="1" t="e">
        <f>AND(#REF!,"AAAAAH3/72A=")</f>
        <v>#REF!</v>
      </c>
      <c r="CT55" s="1" t="e">
        <f>AND(#REF!,"AAAAAH3/72E=")</f>
        <v>#REF!</v>
      </c>
      <c r="CU55" s="1" t="e">
        <f>AND(#REF!,"AAAAAH3/72I=")</f>
        <v>#REF!</v>
      </c>
      <c r="CV55" s="1" t="e">
        <f>IF(#REF!,"AAAAAH3/72M=",0)</f>
        <v>#REF!</v>
      </c>
      <c r="CW55" s="1" t="e">
        <f>AND(#REF!,"AAAAAH3/72Q=")</f>
        <v>#REF!</v>
      </c>
      <c r="CX55" s="1" t="e">
        <f>AND(#REF!,"AAAAAH3/72U=")</f>
        <v>#REF!</v>
      </c>
      <c r="CY55" s="1" t="e">
        <f>AND(#REF!,"AAAAAH3/72Y=")</f>
        <v>#REF!</v>
      </c>
      <c r="CZ55" s="1" t="e">
        <f>AND(#REF!,"AAAAAH3/72c=")</f>
        <v>#REF!</v>
      </c>
      <c r="DA55" s="1" t="e">
        <f>AND(#REF!,"AAAAAH3/72g=")</f>
        <v>#REF!</v>
      </c>
      <c r="DB55" s="1" t="e">
        <f>AND(#REF!,"AAAAAH3/72k=")</f>
        <v>#REF!</v>
      </c>
      <c r="DC55" s="1" t="e">
        <f>AND(#REF!,"AAAAAH3/72o=")</f>
        <v>#REF!</v>
      </c>
      <c r="DD55" s="1" t="e">
        <f>AND(#REF!,"AAAAAH3/72s=")</f>
        <v>#REF!</v>
      </c>
      <c r="DE55" s="1" t="e">
        <f>AND(#REF!,"AAAAAH3/72w=")</f>
        <v>#REF!</v>
      </c>
      <c r="DF55" s="1" t="e">
        <f>AND(#REF!,"AAAAAH3/720=")</f>
        <v>#REF!</v>
      </c>
      <c r="DG55" s="1" t="e">
        <f>AND(#REF!,"AAAAAH3/724=")</f>
        <v>#REF!</v>
      </c>
      <c r="DH55" s="1" t="e">
        <f>AND(#REF!,"AAAAAH3/728=")</f>
        <v>#REF!</v>
      </c>
      <c r="DI55" s="1" t="e">
        <f>AND(#REF!,"AAAAAH3/73A=")</f>
        <v>#REF!</v>
      </c>
      <c r="DJ55" s="1" t="e">
        <f>AND(#REF!,"AAAAAH3/73E=")</f>
        <v>#REF!</v>
      </c>
      <c r="DK55" s="1" t="e">
        <f>AND(#REF!,"AAAAAH3/73I=")</f>
        <v>#REF!</v>
      </c>
      <c r="DL55" s="1" t="e">
        <f>AND(#REF!,"AAAAAH3/73M=")</f>
        <v>#REF!</v>
      </c>
      <c r="DM55" s="1" t="e">
        <f>AND(#REF!,"AAAAAH3/73Q=")</f>
        <v>#REF!</v>
      </c>
      <c r="DN55" s="1" t="e">
        <f>AND(#REF!,"AAAAAH3/73U=")</f>
        <v>#REF!</v>
      </c>
      <c r="DO55" s="1" t="e">
        <f>AND(#REF!,"AAAAAH3/73Y=")</f>
        <v>#REF!</v>
      </c>
      <c r="DP55" s="1" t="e">
        <f>AND(#REF!,"AAAAAH3/73c=")</f>
        <v>#REF!</v>
      </c>
      <c r="DQ55" s="1" t="e">
        <f>AND(#REF!,"AAAAAH3/73g=")</f>
        <v>#REF!</v>
      </c>
      <c r="DR55" s="1" t="e">
        <f>AND(#REF!,"AAAAAH3/73k=")</f>
        <v>#REF!</v>
      </c>
      <c r="DS55" s="1" t="e">
        <f>AND(#REF!,"AAAAAH3/73o=")</f>
        <v>#REF!</v>
      </c>
      <c r="DT55" s="1" t="e">
        <f>AND(#REF!,"AAAAAH3/73s=")</f>
        <v>#REF!</v>
      </c>
      <c r="DU55" s="1" t="e">
        <f>AND(#REF!,"AAAAAH3/73w=")</f>
        <v>#REF!</v>
      </c>
      <c r="DV55" s="1" t="e">
        <f>IF(#REF!,"AAAAAH3/730=",0)</f>
        <v>#REF!</v>
      </c>
      <c r="DW55" s="1" t="e">
        <f>AND(#REF!,"AAAAAH3/734=")</f>
        <v>#REF!</v>
      </c>
      <c r="DX55" s="1" t="e">
        <f>AND(#REF!,"AAAAAH3/738=")</f>
        <v>#REF!</v>
      </c>
      <c r="DY55" s="1" t="e">
        <f>AND(#REF!,"AAAAAH3/74A=")</f>
        <v>#REF!</v>
      </c>
      <c r="DZ55" s="1" t="e">
        <f>AND(#REF!,"AAAAAH3/74E=")</f>
        <v>#REF!</v>
      </c>
      <c r="EA55" s="1" t="e">
        <f>AND(#REF!,"AAAAAH3/74I=")</f>
        <v>#REF!</v>
      </c>
      <c r="EB55" s="1" t="e">
        <f>AND(#REF!,"AAAAAH3/74M=")</f>
        <v>#REF!</v>
      </c>
      <c r="EC55" s="1" t="e">
        <f>AND(#REF!,"AAAAAH3/74Q=")</f>
        <v>#REF!</v>
      </c>
      <c r="ED55" s="1" t="e">
        <f>AND(#REF!,"AAAAAH3/74U=")</f>
        <v>#REF!</v>
      </c>
      <c r="EE55" s="1" t="e">
        <f>AND(#REF!,"AAAAAH3/74Y=")</f>
        <v>#REF!</v>
      </c>
      <c r="EF55" s="1" t="e">
        <f>AND(#REF!,"AAAAAH3/74c=")</f>
        <v>#REF!</v>
      </c>
      <c r="EG55" s="1" t="e">
        <f>AND(#REF!,"AAAAAH3/74g=")</f>
        <v>#REF!</v>
      </c>
      <c r="EH55" s="1" t="e">
        <f>AND(#REF!,"AAAAAH3/74k=")</f>
        <v>#REF!</v>
      </c>
      <c r="EI55" s="1" t="e">
        <f>AND(#REF!,"AAAAAH3/74o=")</f>
        <v>#REF!</v>
      </c>
      <c r="EJ55" s="1" t="e">
        <f>AND(#REF!,"AAAAAH3/74s=")</f>
        <v>#REF!</v>
      </c>
      <c r="EK55" s="1" t="e">
        <f>AND(#REF!,"AAAAAH3/74w=")</f>
        <v>#REF!</v>
      </c>
      <c r="EL55" s="1" t="e">
        <f>AND(#REF!,"AAAAAH3/740=")</f>
        <v>#REF!</v>
      </c>
      <c r="EM55" s="1" t="e">
        <f>AND(#REF!,"AAAAAH3/744=")</f>
        <v>#REF!</v>
      </c>
      <c r="EN55" s="1" t="e">
        <f>AND(#REF!,"AAAAAH3/748=")</f>
        <v>#REF!</v>
      </c>
      <c r="EO55" s="1" t="e">
        <f>AND(#REF!,"AAAAAH3/75A=")</f>
        <v>#REF!</v>
      </c>
      <c r="EP55" s="1" t="e">
        <f>AND(#REF!,"AAAAAH3/75E=")</f>
        <v>#REF!</v>
      </c>
      <c r="EQ55" s="1" t="e">
        <f>AND(#REF!,"AAAAAH3/75I=")</f>
        <v>#REF!</v>
      </c>
      <c r="ER55" s="1" t="e">
        <f>AND(#REF!,"AAAAAH3/75M=")</f>
        <v>#REF!</v>
      </c>
      <c r="ES55" s="1" t="e">
        <f>AND(#REF!,"AAAAAH3/75Q=")</f>
        <v>#REF!</v>
      </c>
      <c r="ET55" s="1" t="e">
        <f>AND(#REF!,"AAAAAH3/75U=")</f>
        <v>#REF!</v>
      </c>
      <c r="EU55" s="1" t="e">
        <f>AND(#REF!,"AAAAAH3/75Y=")</f>
        <v>#REF!</v>
      </c>
      <c r="EV55" s="1" t="e">
        <f>IF(#REF!,"AAAAAH3/75c=",0)</f>
        <v>#REF!</v>
      </c>
      <c r="EW55" s="1" t="e">
        <f>AND(#REF!,"AAAAAH3/75g=")</f>
        <v>#REF!</v>
      </c>
      <c r="EX55" s="1" t="e">
        <f>AND(#REF!,"AAAAAH3/75k=")</f>
        <v>#REF!</v>
      </c>
      <c r="EY55" s="1" t="e">
        <f>AND(#REF!,"AAAAAH3/75o=")</f>
        <v>#REF!</v>
      </c>
      <c r="EZ55" s="1" t="e">
        <f>AND(#REF!,"AAAAAH3/75s=")</f>
        <v>#REF!</v>
      </c>
      <c r="FA55" s="1" t="e">
        <f>AND(#REF!,"AAAAAH3/75w=")</f>
        <v>#REF!</v>
      </c>
      <c r="FB55" s="1" t="e">
        <f>AND(#REF!,"AAAAAH3/750=")</f>
        <v>#REF!</v>
      </c>
      <c r="FC55" s="1" t="e">
        <f>AND(#REF!,"AAAAAH3/754=")</f>
        <v>#REF!</v>
      </c>
      <c r="FD55" s="1" t="e">
        <f>AND(#REF!,"AAAAAH3/758=")</f>
        <v>#REF!</v>
      </c>
      <c r="FE55" s="1" t="e">
        <f>AND(#REF!,"AAAAAH3/76A=")</f>
        <v>#REF!</v>
      </c>
      <c r="FF55" s="1" t="e">
        <f>AND(#REF!,"AAAAAH3/76E=")</f>
        <v>#REF!</v>
      </c>
      <c r="FG55" s="1" t="e">
        <f>AND(#REF!,"AAAAAH3/76I=")</f>
        <v>#REF!</v>
      </c>
      <c r="FH55" s="1" t="e">
        <f>AND(#REF!,"AAAAAH3/76M=")</f>
        <v>#REF!</v>
      </c>
      <c r="FI55" s="1" t="e">
        <f>AND(#REF!,"AAAAAH3/76Q=")</f>
        <v>#REF!</v>
      </c>
      <c r="FJ55" s="1" t="e">
        <f>AND(#REF!,"AAAAAH3/76U=")</f>
        <v>#REF!</v>
      </c>
      <c r="FK55" s="1" t="e">
        <f>AND(#REF!,"AAAAAH3/76Y=")</f>
        <v>#REF!</v>
      </c>
      <c r="FL55" s="1" t="e">
        <f>AND(#REF!,"AAAAAH3/76c=")</f>
        <v>#REF!</v>
      </c>
      <c r="FM55" s="1" t="e">
        <f>AND(#REF!,"AAAAAH3/76g=")</f>
        <v>#REF!</v>
      </c>
      <c r="FN55" s="1" t="e">
        <f>AND(#REF!,"AAAAAH3/76k=")</f>
        <v>#REF!</v>
      </c>
      <c r="FO55" s="1" t="e">
        <f>AND(#REF!,"AAAAAH3/76o=")</f>
        <v>#REF!</v>
      </c>
      <c r="FP55" s="1" t="e">
        <f>AND(#REF!,"AAAAAH3/76s=")</f>
        <v>#REF!</v>
      </c>
      <c r="FQ55" s="1" t="e">
        <f>AND(#REF!,"AAAAAH3/76w=")</f>
        <v>#REF!</v>
      </c>
      <c r="FR55" s="1" t="e">
        <f>AND(#REF!,"AAAAAH3/760=")</f>
        <v>#REF!</v>
      </c>
      <c r="FS55" s="1" t="e">
        <f>AND(#REF!,"AAAAAH3/764=")</f>
        <v>#REF!</v>
      </c>
      <c r="FT55" s="1" t="e">
        <f>AND(#REF!,"AAAAAH3/768=")</f>
        <v>#REF!</v>
      </c>
      <c r="FU55" s="1" t="e">
        <f>AND(#REF!,"AAAAAH3/77A=")</f>
        <v>#REF!</v>
      </c>
      <c r="FV55" s="1" t="e">
        <f>IF(#REF!,"AAAAAH3/77E=",0)</f>
        <v>#REF!</v>
      </c>
      <c r="FW55" s="1" t="e">
        <f>AND(#REF!,"AAAAAH3/77I=")</f>
        <v>#REF!</v>
      </c>
      <c r="FX55" s="1" t="e">
        <f>AND(#REF!,"AAAAAH3/77M=")</f>
        <v>#REF!</v>
      </c>
      <c r="FY55" s="1" t="e">
        <f>AND(#REF!,"AAAAAH3/77Q=")</f>
        <v>#REF!</v>
      </c>
      <c r="FZ55" s="1" t="e">
        <f>AND(#REF!,"AAAAAH3/77U=")</f>
        <v>#REF!</v>
      </c>
      <c r="GA55" s="1" t="e">
        <f>AND(#REF!,"AAAAAH3/77Y=")</f>
        <v>#REF!</v>
      </c>
      <c r="GB55" s="1" t="e">
        <f>AND(#REF!,"AAAAAH3/77c=")</f>
        <v>#REF!</v>
      </c>
      <c r="GC55" s="1" t="e">
        <f>AND(#REF!,"AAAAAH3/77g=")</f>
        <v>#REF!</v>
      </c>
      <c r="GD55" s="1" t="e">
        <f>AND(#REF!,"AAAAAH3/77k=")</f>
        <v>#REF!</v>
      </c>
      <c r="GE55" s="1" t="e">
        <f>AND(#REF!,"AAAAAH3/77o=")</f>
        <v>#REF!</v>
      </c>
      <c r="GF55" s="1" t="e">
        <f>AND(#REF!,"AAAAAH3/77s=")</f>
        <v>#REF!</v>
      </c>
      <c r="GG55" s="1" t="e">
        <f>AND(#REF!,"AAAAAH3/77w=")</f>
        <v>#REF!</v>
      </c>
      <c r="GH55" s="1" t="e">
        <f>AND(#REF!,"AAAAAH3/770=")</f>
        <v>#REF!</v>
      </c>
      <c r="GI55" s="1" t="e">
        <f>AND(#REF!,"AAAAAH3/774=")</f>
        <v>#REF!</v>
      </c>
      <c r="GJ55" s="1" t="e">
        <f>AND(#REF!,"AAAAAH3/778=")</f>
        <v>#REF!</v>
      </c>
      <c r="GK55" s="1" t="e">
        <f>AND(#REF!,"AAAAAH3/78A=")</f>
        <v>#REF!</v>
      </c>
      <c r="GL55" s="1" t="e">
        <f>AND(#REF!,"AAAAAH3/78E=")</f>
        <v>#REF!</v>
      </c>
      <c r="GM55" s="1" t="e">
        <f>AND(#REF!,"AAAAAH3/78I=")</f>
        <v>#REF!</v>
      </c>
      <c r="GN55" s="1" t="e">
        <f>AND(#REF!,"AAAAAH3/78M=")</f>
        <v>#REF!</v>
      </c>
      <c r="GO55" s="1" t="e">
        <f>AND(#REF!,"AAAAAH3/78Q=")</f>
        <v>#REF!</v>
      </c>
      <c r="GP55" s="1" t="e">
        <f>AND(#REF!,"AAAAAH3/78U=")</f>
        <v>#REF!</v>
      </c>
      <c r="GQ55" s="1" t="e">
        <f>AND(#REF!,"AAAAAH3/78Y=")</f>
        <v>#REF!</v>
      </c>
      <c r="GR55" s="1" t="e">
        <f>AND(#REF!,"AAAAAH3/78c=")</f>
        <v>#REF!</v>
      </c>
      <c r="GS55" s="1" t="e">
        <f>AND(#REF!,"AAAAAH3/78g=")</f>
        <v>#REF!</v>
      </c>
      <c r="GT55" s="1" t="e">
        <f>AND(#REF!,"AAAAAH3/78k=")</f>
        <v>#REF!</v>
      </c>
      <c r="GU55" s="1" t="e">
        <f>AND(#REF!,"AAAAAH3/78o=")</f>
        <v>#REF!</v>
      </c>
      <c r="GV55" s="1" t="e">
        <f>IF(#REF!,"AAAAAH3/78s=",0)</f>
        <v>#REF!</v>
      </c>
      <c r="GW55" s="1" t="e">
        <f>AND(#REF!,"AAAAAH3/78w=")</f>
        <v>#REF!</v>
      </c>
      <c r="GX55" s="1" t="e">
        <f>AND(#REF!,"AAAAAH3/780=")</f>
        <v>#REF!</v>
      </c>
      <c r="GY55" s="1" t="e">
        <f>AND(#REF!,"AAAAAH3/784=")</f>
        <v>#REF!</v>
      </c>
      <c r="GZ55" s="1" t="e">
        <f>AND(#REF!,"AAAAAH3/788=")</f>
        <v>#REF!</v>
      </c>
      <c r="HA55" s="1" t="e">
        <f>AND(#REF!,"AAAAAH3/79A=")</f>
        <v>#REF!</v>
      </c>
      <c r="HB55" s="1" t="e">
        <f>AND(#REF!,"AAAAAH3/79E=")</f>
        <v>#REF!</v>
      </c>
      <c r="HC55" s="1" t="e">
        <f>AND(#REF!,"AAAAAH3/79I=")</f>
        <v>#REF!</v>
      </c>
      <c r="HD55" s="1" t="e">
        <f>AND(#REF!,"AAAAAH3/79M=")</f>
        <v>#REF!</v>
      </c>
      <c r="HE55" s="1" t="e">
        <f>AND(#REF!,"AAAAAH3/79Q=")</f>
        <v>#REF!</v>
      </c>
      <c r="HF55" s="1" t="e">
        <f>AND(#REF!,"AAAAAH3/79U=")</f>
        <v>#REF!</v>
      </c>
      <c r="HG55" s="1" t="e">
        <f>AND(#REF!,"AAAAAH3/79Y=")</f>
        <v>#REF!</v>
      </c>
      <c r="HH55" s="1" t="e">
        <f>AND(#REF!,"AAAAAH3/79c=")</f>
        <v>#REF!</v>
      </c>
      <c r="HI55" s="1" t="e">
        <f>AND(#REF!,"AAAAAH3/79g=")</f>
        <v>#REF!</v>
      </c>
      <c r="HJ55" s="1" t="e">
        <f>AND(#REF!,"AAAAAH3/79k=")</f>
        <v>#REF!</v>
      </c>
      <c r="HK55" s="1" t="e">
        <f>AND(#REF!,"AAAAAH3/79o=")</f>
        <v>#REF!</v>
      </c>
      <c r="HL55" s="1" t="e">
        <f>AND(#REF!,"AAAAAH3/79s=")</f>
        <v>#REF!</v>
      </c>
      <c r="HM55" s="1" t="e">
        <f>AND(#REF!,"AAAAAH3/79w=")</f>
        <v>#REF!</v>
      </c>
      <c r="HN55" s="1" t="e">
        <f>AND(#REF!,"AAAAAH3/790=")</f>
        <v>#REF!</v>
      </c>
      <c r="HO55" s="1" t="e">
        <f>AND(#REF!,"AAAAAH3/794=")</f>
        <v>#REF!</v>
      </c>
      <c r="HP55" s="1" t="e">
        <f>AND(#REF!,"AAAAAH3/798=")</f>
        <v>#REF!</v>
      </c>
      <c r="HQ55" s="1" t="e">
        <f>AND(#REF!,"AAAAAH3/7+A=")</f>
        <v>#REF!</v>
      </c>
      <c r="HR55" s="1" t="e">
        <f>AND(#REF!,"AAAAAH3/7+E=")</f>
        <v>#REF!</v>
      </c>
      <c r="HS55" s="1" t="e">
        <f>AND(#REF!,"AAAAAH3/7+I=")</f>
        <v>#REF!</v>
      </c>
      <c r="HT55" s="1" t="e">
        <f>AND(#REF!,"AAAAAH3/7+M=")</f>
        <v>#REF!</v>
      </c>
      <c r="HU55" s="1" t="e">
        <f>AND(#REF!,"AAAAAH3/7+Q=")</f>
        <v>#REF!</v>
      </c>
      <c r="HV55" s="1" t="e">
        <f>IF(#REF!,"AAAAAH3/7+U=",0)</f>
        <v>#REF!</v>
      </c>
      <c r="HW55" s="1" t="e">
        <f>AND(#REF!,"AAAAAH3/7+Y=")</f>
        <v>#REF!</v>
      </c>
      <c r="HX55" s="1" t="e">
        <f>AND(#REF!,"AAAAAH3/7+c=")</f>
        <v>#REF!</v>
      </c>
      <c r="HY55" s="1" t="e">
        <f>AND(#REF!,"AAAAAH3/7+g=")</f>
        <v>#REF!</v>
      </c>
      <c r="HZ55" s="1" t="e">
        <f>AND(#REF!,"AAAAAH3/7+k=")</f>
        <v>#REF!</v>
      </c>
      <c r="IA55" s="1" t="e">
        <f>AND(#REF!,"AAAAAH3/7+o=")</f>
        <v>#REF!</v>
      </c>
      <c r="IB55" s="1" t="e">
        <f>AND(#REF!,"AAAAAH3/7+s=")</f>
        <v>#REF!</v>
      </c>
      <c r="IC55" s="1" t="e">
        <f>AND(#REF!,"AAAAAH3/7+w=")</f>
        <v>#REF!</v>
      </c>
      <c r="ID55" s="1" t="e">
        <f>AND(#REF!,"AAAAAH3/7+0=")</f>
        <v>#REF!</v>
      </c>
      <c r="IE55" s="1" t="e">
        <f>AND(#REF!,"AAAAAH3/7+4=")</f>
        <v>#REF!</v>
      </c>
      <c r="IF55" s="1" t="e">
        <f>AND(#REF!,"AAAAAH3/7+8=")</f>
        <v>#REF!</v>
      </c>
      <c r="IG55" s="1" t="e">
        <f>AND(#REF!,"AAAAAH3/7/A=")</f>
        <v>#REF!</v>
      </c>
      <c r="IH55" s="1" t="e">
        <f>AND(#REF!,"AAAAAH3/7/E=")</f>
        <v>#REF!</v>
      </c>
      <c r="II55" s="1" t="e">
        <f>AND(#REF!,"AAAAAH3/7/I=")</f>
        <v>#REF!</v>
      </c>
      <c r="IJ55" s="1" t="e">
        <f>AND(#REF!,"AAAAAH3/7/M=")</f>
        <v>#REF!</v>
      </c>
      <c r="IK55" s="1" t="e">
        <f>AND(#REF!,"AAAAAH3/7/Q=")</f>
        <v>#REF!</v>
      </c>
      <c r="IL55" s="1" t="e">
        <f>AND(#REF!,"AAAAAH3/7/U=")</f>
        <v>#REF!</v>
      </c>
      <c r="IM55" s="1" t="e">
        <f>AND(#REF!,"AAAAAH3/7/Y=")</f>
        <v>#REF!</v>
      </c>
      <c r="IN55" s="1" t="e">
        <f>AND(#REF!,"AAAAAH3/7/c=")</f>
        <v>#REF!</v>
      </c>
      <c r="IO55" s="1" t="e">
        <f>AND(#REF!,"AAAAAH3/7/g=")</f>
        <v>#REF!</v>
      </c>
      <c r="IP55" s="1" t="e">
        <f>AND(#REF!,"AAAAAH3/7/k=")</f>
        <v>#REF!</v>
      </c>
      <c r="IQ55" s="1" t="e">
        <f>AND(#REF!,"AAAAAH3/7/o=")</f>
        <v>#REF!</v>
      </c>
      <c r="IR55" s="1" t="e">
        <f>AND(#REF!,"AAAAAH3/7/s=")</f>
        <v>#REF!</v>
      </c>
      <c r="IS55" s="1" t="e">
        <f>AND(#REF!,"AAAAAH3/7/w=")</f>
        <v>#REF!</v>
      </c>
      <c r="IT55" s="1" t="e">
        <f>AND(#REF!,"AAAAAH3/7/0=")</f>
        <v>#REF!</v>
      </c>
      <c r="IU55" s="1" t="e">
        <f>AND(#REF!,"AAAAAH3/7/4=")</f>
        <v>#REF!</v>
      </c>
      <c r="IV55" s="1" t="e">
        <f>IF(#REF!,"AAAAAH3/7/8=",0)</f>
        <v>#REF!</v>
      </c>
    </row>
    <row r="56" spans="1:256" ht="15" customHeight="1" x14ac:dyDescent="0.2">
      <c r="A56" s="1" t="e">
        <f>AND(#REF!,"AAAAAB20PQA=")</f>
        <v>#REF!</v>
      </c>
      <c r="B56" s="1" t="e">
        <f>AND(#REF!,"AAAAAB20PQE=")</f>
        <v>#REF!</v>
      </c>
      <c r="C56" s="1" t="e">
        <f>AND(#REF!,"AAAAAB20PQI=")</f>
        <v>#REF!</v>
      </c>
      <c r="D56" s="1" t="e">
        <f>AND(#REF!,"AAAAAB20PQM=")</f>
        <v>#REF!</v>
      </c>
      <c r="E56" s="1" t="e">
        <f>AND(#REF!,"AAAAAB20PQQ=")</f>
        <v>#REF!</v>
      </c>
      <c r="F56" s="1" t="e">
        <f>AND(#REF!,"AAAAAB20PQU=")</f>
        <v>#REF!</v>
      </c>
      <c r="G56" s="1" t="e">
        <f>AND(#REF!,"AAAAAB20PQY=")</f>
        <v>#REF!</v>
      </c>
      <c r="H56" s="1" t="e">
        <f>AND(#REF!,"AAAAAB20PQc=")</f>
        <v>#REF!</v>
      </c>
      <c r="I56" s="1" t="e">
        <f>AND(#REF!,"AAAAAB20PQg=")</f>
        <v>#REF!</v>
      </c>
      <c r="J56" s="1" t="e">
        <f>AND(#REF!,"AAAAAB20PQk=")</f>
        <v>#REF!</v>
      </c>
      <c r="K56" s="1" t="e">
        <f>AND(#REF!,"AAAAAB20PQo=")</f>
        <v>#REF!</v>
      </c>
      <c r="L56" s="1" t="e">
        <f>AND(#REF!,"AAAAAB20PQs=")</f>
        <v>#REF!</v>
      </c>
      <c r="M56" s="1" t="e">
        <f>AND(#REF!,"AAAAAB20PQw=")</f>
        <v>#REF!</v>
      </c>
      <c r="N56" s="1" t="e">
        <f>AND(#REF!,"AAAAAB20PQ0=")</f>
        <v>#REF!</v>
      </c>
      <c r="O56" s="1" t="e">
        <f>AND(#REF!,"AAAAAB20PQ4=")</f>
        <v>#REF!</v>
      </c>
      <c r="P56" s="1" t="e">
        <f>AND(#REF!,"AAAAAB20PQ8=")</f>
        <v>#REF!</v>
      </c>
      <c r="Q56" s="1" t="e">
        <f>AND(#REF!,"AAAAAB20PRA=")</f>
        <v>#REF!</v>
      </c>
      <c r="R56" s="1" t="e">
        <f>AND(#REF!,"AAAAAB20PRE=")</f>
        <v>#REF!</v>
      </c>
      <c r="S56" s="1" t="e">
        <f>AND(#REF!,"AAAAAB20PRI=")</f>
        <v>#REF!</v>
      </c>
      <c r="T56" s="1" t="e">
        <f>AND(#REF!,"AAAAAB20PRM=")</f>
        <v>#REF!</v>
      </c>
      <c r="U56" s="1" t="e">
        <f>AND(#REF!,"AAAAAB20PRQ=")</f>
        <v>#REF!</v>
      </c>
      <c r="V56" s="1" t="e">
        <f>AND(#REF!,"AAAAAB20PRU=")</f>
        <v>#REF!</v>
      </c>
      <c r="W56" s="1" t="e">
        <f>AND(#REF!,"AAAAAB20PRY=")</f>
        <v>#REF!</v>
      </c>
      <c r="X56" s="1" t="e">
        <f>AND(#REF!,"AAAAAB20PRc=")</f>
        <v>#REF!</v>
      </c>
      <c r="Y56" s="1" t="e">
        <f>AND(#REF!,"AAAAAB20PRg=")</f>
        <v>#REF!</v>
      </c>
      <c r="Z56" s="1" t="e">
        <f>IF(#REF!,"AAAAAB20PRk=",0)</f>
        <v>#REF!</v>
      </c>
      <c r="AA56" s="1" t="e">
        <f>AND(#REF!,"AAAAAB20PRo=")</f>
        <v>#REF!</v>
      </c>
      <c r="AB56" s="1" t="e">
        <f>AND(#REF!,"AAAAAB20PRs=")</f>
        <v>#REF!</v>
      </c>
      <c r="AC56" s="1" t="e">
        <f>AND(#REF!,"AAAAAB20PRw=")</f>
        <v>#REF!</v>
      </c>
      <c r="AD56" s="1" t="e">
        <f>AND(#REF!,"AAAAAB20PR0=")</f>
        <v>#REF!</v>
      </c>
      <c r="AE56" s="1" t="e">
        <f>AND(#REF!,"AAAAAB20PR4=")</f>
        <v>#REF!</v>
      </c>
      <c r="AF56" s="1" t="e">
        <f>AND(#REF!,"AAAAAB20PR8=")</f>
        <v>#REF!</v>
      </c>
      <c r="AG56" s="1" t="e">
        <f>AND(#REF!,"AAAAAB20PSA=")</f>
        <v>#REF!</v>
      </c>
      <c r="AH56" s="1" t="e">
        <f>AND(#REF!,"AAAAAB20PSE=")</f>
        <v>#REF!</v>
      </c>
      <c r="AI56" s="1" t="e">
        <f>AND(#REF!,"AAAAAB20PSI=")</f>
        <v>#REF!</v>
      </c>
      <c r="AJ56" s="1" t="e">
        <f>AND(#REF!,"AAAAAB20PSM=")</f>
        <v>#REF!</v>
      </c>
      <c r="AK56" s="1" t="e">
        <f>AND(#REF!,"AAAAAB20PSQ=")</f>
        <v>#REF!</v>
      </c>
      <c r="AL56" s="1" t="e">
        <f>AND(#REF!,"AAAAAB20PSU=")</f>
        <v>#REF!</v>
      </c>
      <c r="AM56" s="1" t="e">
        <f>AND(#REF!,"AAAAAB20PSY=")</f>
        <v>#REF!</v>
      </c>
      <c r="AN56" s="1" t="e">
        <f>AND(#REF!,"AAAAAB20PSc=")</f>
        <v>#REF!</v>
      </c>
      <c r="AO56" s="1" t="e">
        <f>AND(#REF!,"AAAAAB20PSg=")</f>
        <v>#REF!</v>
      </c>
      <c r="AP56" s="1" t="e">
        <f>AND(#REF!,"AAAAAB20PSk=")</f>
        <v>#REF!</v>
      </c>
      <c r="AQ56" s="1" t="e">
        <f>AND(#REF!,"AAAAAB20PSo=")</f>
        <v>#REF!</v>
      </c>
      <c r="AR56" s="1" t="e">
        <f>AND(#REF!,"AAAAAB20PSs=")</f>
        <v>#REF!</v>
      </c>
      <c r="AS56" s="1" t="e">
        <f>AND(#REF!,"AAAAAB20PSw=")</f>
        <v>#REF!</v>
      </c>
      <c r="AT56" s="1" t="e">
        <f>AND(#REF!,"AAAAAB20PS0=")</f>
        <v>#REF!</v>
      </c>
      <c r="AU56" s="1" t="e">
        <f>AND(#REF!,"AAAAAB20PS4=")</f>
        <v>#REF!</v>
      </c>
      <c r="AV56" s="1" t="e">
        <f>AND(#REF!,"AAAAAB20PS8=")</f>
        <v>#REF!</v>
      </c>
      <c r="AW56" s="1" t="e">
        <f>AND(#REF!,"AAAAAB20PTA=")</f>
        <v>#REF!</v>
      </c>
      <c r="AX56" s="1" t="e">
        <f>AND(#REF!,"AAAAAB20PTE=")</f>
        <v>#REF!</v>
      </c>
      <c r="AY56" s="1" t="e">
        <f>AND(#REF!,"AAAAAB20PTI=")</f>
        <v>#REF!</v>
      </c>
      <c r="AZ56" s="1" t="e">
        <f>IF(#REF!,"AAAAAB20PTM=",0)</f>
        <v>#REF!</v>
      </c>
      <c r="BA56" s="1" t="e">
        <f>AND(#REF!,"AAAAAB20PTQ=")</f>
        <v>#REF!</v>
      </c>
      <c r="BB56" s="1" t="e">
        <f>AND(#REF!,"AAAAAB20PTU=")</f>
        <v>#REF!</v>
      </c>
      <c r="BC56" s="1" t="e">
        <f>AND(#REF!,"AAAAAB20PTY=")</f>
        <v>#REF!</v>
      </c>
      <c r="BD56" s="1" t="e">
        <f>AND(#REF!,"AAAAAB20PTc=")</f>
        <v>#REF!</v>
      </c>
      <c r="BE56" s="1" t="e">
        <f>AND(#REF!,"AAAAAB20PTg=")</f>
        <v>#REF!</v>
      </c>
      <c r="BF56" s="1" t="e">
        <f>AND(#REF!,"AAAAAB20PTk=")</f>
        <v>#REF!</v>
      </c>
      <c r="BG56" s="1" t="e">
        <f>AND(#REF!,"AAAAAB20PTo=")</f>
        <v>#REF!</v>
      </c>
      <c r="BH56" s="1" t="e">
        <f>AND(#REF!,"AAAAAB20PTs=")</f>
        <v>#REF!</v>
      </c>
      <c r="BI56" s="1" t="e">
        <f>AND(#REF!,"AAAAAB20PTw=")</f>
        <v>#REF!</v>
      </c>
      <c r="BJ56" s="1" t="e">
        <f>AND(#REF!,"AAAAAB20PT0=")</f>
        <v>#REF!</v>
      </c>
      <c r="BK56" s="1" t="e">
        <f>AND(#REF!,"AAAAAB20PT4=")</f>
        <v>#REF!</v>
      </c>
      <c r="BL56" s="1" t="e">
        <f>AND(#REF!,"AAAAAB20PT8=")</f>
        <v>#REF!</v>
      </c>
      <c r="BM56" s="1" t="e">
        <f>AND(#REF!,"AAAAAB20PUA=")</f>
        <v>#REF!</v>
      </c>
      <c r="BN56" s="1" t="e">
        <f>AND(#REF!,"AAAAAB20PUE=")</f>
        <v>#REF!</v>
      </c>
      <c r="BO56" s="1" t="e">
        <f>AND(#REF!,"AAAAAB20PUI=")</f>
        <v>#REF!</v>
      </c>
      <c r="BP56" s="1" t="e">
        <f>AND(#REF!,"AAAAAB20PUM=")</f>
        <v>#REF!</v>
      </c>
      <c r="BQ56" s="1" t="e">
        <f>AND(#REF!,"AAAAAB20PUQ=")</f>
        <v>#REF!</v>
      </c>
      <c r="BR56" s="1" t="e">
        <f>AND(#REF!,"AAAAAB20PUU=")</f>
        <v>#REF!</v>
      </c>
      <c r="BS56" s="1" t="e">
        <f>AND(#REF!,"AAAAAB20PUY=")</f>
        <v>#REF!</v>
      </c>
      <c r="BT56" s="1" t="e">
        <f>AND(#REF!,"AAAAAB20PUc=")</f>
        <v>#REF!</v>
      </c>
      <c r="BU56" s="1" t="e">
        <f>AND(#REF!,"AAAAAB20PUg=")</f>
        <v>#REF!</v>
      </c>
      <c r="BV56" s="1" t="e">
        <f>AND(#REF!,"AAAAAB20PUk=")</f>
        <v>#REF!</v>
      </c>
      <c r="BW56" s="1" t="e">
        <f>AND(#REF!,"AAAAAB20PUo=")</f>
        <v>#REF!</v>
      </c>
      <c r="BX56" s="1" t="e">
        <f>AND(#REF!,"AAAAAB20PUs=")</f>
        <v>#REF!</v>
      </c>
      <c r="BY56" s="1" t="e">
        <f>AND(#REF!,"AAAAAB20PUw=")</f>
        <v>#REF!</v>
      </c>
      <c r="BZ56" s="1" t="e">
        <f>IF(#REF!,"AAAAAB20PU0=",0)</f>
        <v>#REF!</v>
      </c>
      <c r="CA56" s="1" t="e">
        <f>AND(#REF!,"AAAAAB20PU4=")</f>
        <v>#REF!</v>
      </c>
      <c r="CB56" s="1" t="e">
        <f>AND(#REF!,"AAAAAB20PU8=")</f>
        <v>#REF!</v>
      </c>
      <c r="CC56" s="1" t="e">
        <f>AND(#REF!,"AAAAAB20PVA=")</f>
        <v>#REF!</v>
      </c>
      <c r="CD56" s="1" t="e">
        <f>AND(#REF!,"AAAAAB20PVE=")</f>
        <v>#REF!</v>
      </c>
      <c r="CE56" s="1" t="e">
        <f>AND(#REF!,"AAAAAB20PVI=")</f>
        <v>#REF!</v>
      </c>
      <c r="CF56" s="1" t="e">
        <f>AND(#REF!,"AAAAAB20PVM=")</f>
        <v>#REF!</v>
      </c>
      <c r="CG56" s="1" t="e">
        <f>AND(#REF!,"AAAAAB20PVQ=")</f>
        <v>#REF!</v>
      </c>
      <c r="CH56" s="1" t="e">
        <f>AND(#REF!,"AAAAAB20PVU=")</f>
        <v>#REF!</v>
      </c>
      <c r="CI56" s="1" t="e">
        <f>AND(#REF!,"AAAAAB20PVY=")</f>
        <v>#REF!</v>
      </c>
      <c r="CJ56" s="1" t="e">
        <f>AND(#REF!,"AAAAAB20PVc=")</f>
        <v>#REF!</v>
      </c>
      <c r="CK56" s="1" t="e">
        <f>AND(#REF!,"AAAAAB20PVg=")</f>
        <v>#REF!</v>
      </c>
      <c r="CL56" s="1" t="e">
        <f>AND(#REF!,"AAAAAB20PVk=")</f>
        <v>#REF!</v>
      </c>
      <c r="CM56" s="1" t="e">
        <f>AND(#REF!,"AAAAAB20PVo=")</f>
        <v>#REF!</v>
      </c>
      <c r="CN56" s="1" t="e">
        <f>AND(#REF!,"AAAAAB20PVs=")</f>
        <v>#REF!</v>
      </c>
      <c r="CO56" s="1" t="e">
        <f>AND(#REF!,"AAAAAB20PVw=")</f>
        <v>#REF!</v>
      </c>
      <c r="CP56" s="1" t="e">
        <f>AND(#REF!,"AAAAAB20PV0=")</f>
        <v>#REF!</v>
      </c>
      <c r="CQ56" s="1" t="e">
        <f>AND(#REF!,"AAAAAB20PV4=")</f>
        <v>#REF!</v>
      </c>
      <c r="CR56" s="1" t="e">
        <f>AND(#REF!,"AAAAAB20PV8=")</f>
        <v>#REF!</v>
      </c>
      <c r="CS56" s="1" t="e">
        <f>AND(#REF!,"AAAAAB20PWA=")</f>
        <v>#REF!</v>
      </c>
      <c r="CT56" s="1" t="e">
        <f>AND(#REF!,"AAAAAB20PWE=")</f>
        <v>#REF!</v>
      </c>
      <c r="CU56" s="1" t="e">
        <f>AND(#REF!,"AAAAAB20PWI=")</f>
        <v>#REF!</v>
      </c>
      <c r="CV56" s="1" t="e">
        <f>AND(#REF!,"AAAAAB20PWM=")</f>
        <v>#REF!</v>
      </c>
      <c r="CW56" s="1" t="e">
        <f>AND(#REF!,"AAAAAB20PWQ=")</f>
        <v>#REF!</v>
      </c>
      <c r="CX56" s="1" t="e">
        <f>AND(#REF!,"AAAAAB20PWU=")</f>
        <v>#REF!</v>
      </c>
      <c r="CY56" s="1" t="e">
        <f>AND(#REF!,"AAAAAB20PWY=")</f>
        <v>#REF!</v>
      </c>
      <c r="CZ56" s="1" t="e">
        <f>IF(#REF!,"AAAAAB20PWc=",0)</f>
        <v>#REF!</v>
      </c>
      <c r="DA56" s="1" t="e">
        <f>AND(#REF!,"AAAAAB20PWg=")</f>
        <v>#REF!</v>
      </c>
      <c r="DB56" s="1" t="e">
        <f>AND(#REF!,"AAAAAB20PWk=")</f>
        <v>#REF!</v>
      </c>
      <c r="DC56" s="1" t="e">
        <f>AND(#REF!,"AAAAAB20PWo=")</f>
        <v>#REF!</v>
      </c>
      <c r="DD56" s="1" t="e">
        <f>AND(#REF!,"AAAAAB20PWs=")</f>
        <v>#REF!</v>
      </c>
      <c r="DE56" s="1" t="e">
        <f>AND(#REF!,"AAAAAB20PWw=")</f>
        <v>#REF!</v>
      </c>
      <c r="DF56" s="1" t="e">
        <f>AND(#REF!,"AAAAAB20PW0=")</f>
        <v>#REF!</v>
      </c>
      <c r="DG56" s="1" t="e">
        <f>AND(#REF!,"AAAAAB20PW4=")</f>
        <v>#REF!</v>
      </c>
      <c r="DH56" s="1" t="e">
        <f>AND(#REF!,"AAAAAB20PW8=")</f>
        <v>#REF!</v>
      </c>
      <c r="DI56" s="1" t="e">
        <f>AND(#REF!,"AAAAAB20PXA=")</f>
        <v>#REF!</v>
      </c>
      <c r="DJ56" s="1" t="e">
        <f>AND(#REF!,"AAAAAB20PXE=")</f>
        <v>#REF!</v>
      </c>
      <c r="DK56" s="1" t="e">
        <f>AND(#REF!,"AAAAAB20PXI=")</f>
        <v>#REF!</v>
      </c>
      <c r="DL56" s="1" t="e">
        <f>AND(#REF!,"AAAAAB20PXM=")</f>
        <v>#REF!</v>
      </c>
      <c r="DM56" s="1" t="e">
        <f>AND(#REF!,"AAAAAB20PXQ=")</f>
        <v>#REF!</v>
      </c>
      <c r="DN56" s="1" t="e">
        <f>AND(#REF!,"AAAAAB20PXU=")</f>
        <v>#REF!</v>
      </c>
      <c r="DO56" s="1" t="e">
        <f>AND(#REF!,"AAAAAB20PXY=")</f>
        <v>#REF!</v>
      </c>
      <c r="DP56" s="1" t="e">
        <f>AND(#REF!,"AAAAAB20PXc=")</f>
        <v>#REF!</v>
      </c>
      <c r="DQ56" s="1" t="e">
        <f>AND(#REF!,"AAAAAB20PXg=")</f>
        <v>#REF!</v>
      </c>
      <c r="DR56" s="1" t="e">
        <f>AND(#REF!,"AAAAAB20PXk=")</f>
        <v>#REF!</v>
      </c>
      <c r="DS56" s="1" t="e">
        <f>AND(#REF!,"AAAAAB20PXo=")</f>
        <v>#REF!</v>
      </c>
      <c r="DT56" s="1" t="e">
        <f>AND(#REF!,"AAAAAB20PXs=")</f>
        <v>#REF!</v>
      </c>
      <c r="DU56" s="1" t="e">
        <f>AND(#REF!,"AAAAAB20PXw=")</f>
        <v>#REF!</v>
      </c>
      <c r="DV56" s="1" t="e">
        <f>AND(#REF!,"AAAAAB20PX0=")</f>
        <v>#REF!</v>
      </c>
      <c r="DW56" s="1" t="e">
        <f>AND(#REF!,"AAAAAB20PX4=")</f>
        <v>#REF!</v>
      </c>
      <c r="DX56" s="1" t="e">
        <f>AND(#REF!,"AAAAAB20PX8=")</f>
        <v>#REF!</v>
      </c>
      <c r="DY56" s="1" t="e">
        <f>AND(#REF!,"AAAAAB20PYA=")</f>
        <v>#REF!</v>
      </c>
      <c r="DZ56" s="1" t="e">
        <f>IF(#REF!,"AAAAAB20PYE=",0)</f>
        <v>#REF!</v>
      </c>
      <c r="EA56" s="1" t="e">
        <f>AND(#REF!,"AAAAAB20PYI=")</f>
        <v>#REF!</v>
      </c>
      <c r="EB56" s="1" t="e">
        <f>AND(#REF!,"AAAAAB20PYM=")</f>
        <v>#REF!</v>
      </c>
      <c r="EC56" s="1" t="e">
        <f>AND(#REF!,"AAAAAB20PYQ=")</f>
        <v>#REF!</v>
      </c>
      <c r="ED56" s="1" t="e">
        <f>AND(#REF!,"AAAAAB20PYU=")</f>
        <v>#REF!</v>
      </c>
      <c r="EE56" s="1" t="e">
        <f>AND(#REF!,"AAAAAB20PYY=")</f>
        <v>#REF!</v>
      </c>
      <c r="EF56" s="1" t="e">
        <f>AND(#REF!,"AAAAAB20PYc=")</f>
        <v>#REF!</v>
      </c>
      <c r="EG56" s="1" t="e">
        <f>AND(#REF!,"AAAAAB20PYg=")</f>
        <v>#REF!</v>
      </c>
      <c r="EH56" s="1" t="e">
        <f>AND(#REF!,"AAAAAB20PYk=")</f>
        <v>#REF!</v>
      </c>
      <c r="EI56" s="1" t="e">
        <f>AND(#REF!,"AAAAAB20PYo=")</f>
        <v>#REF!</v>
      </c>
      <c r="EJ56" s="1" t="e">
        <f>AND(#REF!,"AAAAAB20PYs=")</f>
        <v>#REF!</v>
      </c>
      <c r="EK56" s="1" t="e">
        <f>AND(#REF!,"AAAAAB20PYw=")</f>
        <v>#REF!</v>
      </c>
      <c r="EL56" s="1" t="e">
        <f>AND(#REF!,"AAAAAB20PY0=")</f>
        <v>#REF!</v>
      </c>
      <c r="EM56" s="1" t="e">
        <f>AND(#REF!,"AAAAAB20PY4=")</f>
        <v>#REF!</v>
      </c>
      <c r="EN56" s="1" t="e">
        <f>AND(#REF!,"AAAAAB20PY8=")</f>
        <v>#REF!</v>
      </c>
      <c r="EO56" s="1" t="e">
        <f>AND(#REF!,"AAAAAB20PZA=")</f>
        <v>#REF!</v>
      </c>
      <c r="EP56" s="1" t="e">
        <f>AND(#REF!,"AAAAAB20PZE=")</f>
        <v>#REF!</v>
      </c>
      <c r="EQ56" s="1" t="e">
        <f>AND(#REF!,"AAAAAB20PZI=")</f>
        <v>#REF!</v>
      </c>
      <c r="ER56" s="1" t="e">
        <f>AND(#REF!,"AAAAAB20PZM=")</f>
        <v>#REF!</v>
      </c>
      <c r="ES56" s="1" t="e">
        <f>AND(#REF!,"AAAAAB20PZQ=")</f>
        <v>#REF!</v>
      </c>
      <c r="ET56" s="1" t="e">
        <f>AND(#REF!,"AAAAAB20PZU=")</f>
        <v>#REF!</v>
      </c>
      <c r="EU56" s="1" t="e">
        <f>AND(#REF!,"AAAAAB20PZY=")</f>
        <v>#REF!</v>
      </c>
      <c r="EV56" s="1" t="e">
        <f>AND(#REF!,"AAAAAB20PZc=")</f>
        <v>#REF!</v>
      </c>
      <c r="EW56" s="1" t="e">
        <f>AND(#REF!,"AAAAAB20PZg=")</f>
        <v>#REF!</v>
      </c>
      <c r="EX56" s="1" t="e">
        <f>AND(#REF!,"AAAAAB20PZk=")</f>
        <v>#REF!</v>
      </c>
      <c r="EY56" s="1" t="e">
        <f>AND(#REF!,"AAAAAB20PZo=")</f>
        <v>#REF!</v>
      </c>
      <c r="EZ56" s="1" t="e">
        <f>IF(#REF!,"AAAAAB20PZs=",0)</f>
        <v>#REF!</v>
      </c>
      <c r="FA56" s="1" t="e">
        <f>AND(#REF!,"AAAAAB20PZw=")</f>
        <v>#REF!</v>
      </c>
      <c r="FB56" s="1" t="e">
        <f>AND(#REF!,"AAAAAB20PZ0=")</f>
        <v>#REF!</v>
      </c>
      <c r="FC56" s="1" t="e">
        <f>AND(#REF!,"AAAAAB20PZ4=")</f>
        <v>#REF!</v>
      </c>
      <c r="FD56" s="1" t="e">
        <f>AND(#REF!,"AAAAAB20PZ8=")</f>
        <v>#REF!</v>
      </c>
      <c r="FE56" s="1" t="e">
        <f>AND(#REF!,"AAAAAB20PaA=")</f>
        <v>#REF!</v>
      </c>
      <c r="FF56" s="1" t="e">
        <f>AND(#REF!,"AAAAAB20PaE=")</f>
        <v>#REF!</v>
      </c>
      <c r="FG56" s="1" t="e">
        <f>AND(#REF!,"AAAAAB20PaI=")</f>
        <v>#REF!</v>
      </c>
      <c r="FH56" s="1" t="e">
        <f>AND(#REF!,"AAAAAB20PaM=")</f>
        <v>#REF!</v>
      </c>
      <c r="FI56" s="1" t="e">
        <f>AND(#REF!,"AAAAAB20PaQ=")</f>
        <v>#REF!</v>
      </c>
      <c r="FJ56" s="1" t="e">
        <f>AND(#REF!,"AAAAAB20PaU=")</f>
        <v>#REF!</v>
      </c>
      <c r="FK56" s="1" t="e">
        <f>AND(#REF!,"AAAAAB20PaY=")</f>
        <v>#REF!</v>
      </c>
      <c r="FL56" s="1" t="e">
        <f>AND(#REF!,"AAAAAB20Pac=")</f>
        <v>#REF!</v>
      </c>
      <c r="FM56" s="1" t="e">
        <f>AND(#REF!,"AAAAAB20Pag=")</f>
        <v>#REF!</v>
      </c>
      <c r="FN56" s="1" t="e">
        <f>AND(#REF!,"AAAAAB20Pak=")</f>
        <v>#REF!</v>
      </c>
      <c r="FO56" s="1" t="e">
        <f>AND(#REF!,"AAAAAB20Pao=")</f>
        <v>#REF!</v>
      </c>
      <c r="FP56" s="1" t="e">
        <f>AND(#REF!,"AAAAAB20Pas=")</f>
        <v>#REF!</v>
      </c>
      <c r="FQ56" s="1" t="e">
        <f>AND(#REF!,"AAAAAB20Paw=")</f>
        <v>#REF!</v>
      </c>
      <c r="FR56" s="1" t="e">
        <f>AND(#REF!,"AAAAAB20Pa0=")</f>
        <v>#REF!</v>
      </c>
      <c r="FS56" s="1" t="e">
        <f>AND(#REF!,"AAAAAB20Pa4=")</f>
        <v>#REF!</v>
      </c>
      <c r="FT56" s="1" t="e">
        <f>AND(#REF!,"AAAAAB20Pa8=")</f>
        <v>#REF!</v>
      </c>
      <c r="FU56" s="1" t="e">
        <f>AND(#REF!,"AAAAAB20PbA=")</f>
        <v>#REF!</v>
      </c>
      <c r="FV56" s="1" t="e">
        <f>AND(#REF!,"AAAAAB20PbE=")</f>
        <v>#REF!</v>
      </c>
      <c r="FW56" s="1" t="e">
        <f>AND(#REF!,"AAAAAB20PbI=")</f>
        <v>#REF!</v>
      </c>
      <c r="FX56" s="1" t="e">
        <f>AND(#REF!,"AAAAAB20PbM=")</f>
        <v>#REF!</v>
      </c>
      <c r="FY56" s="1" t="e">
        <f>AND(#REF!,"AAAAAB20PbQ=")</f>
        <v>#REF!</v>
      </c>
      <c r="FZ56" s="1" t="e">
        <f>IF(#REF!,"AAAAAB20PbU=",0)</f>
        <v>#REF!</v>
      </c>
      <c r="GA56" s="1" t="e">
        <f>AND(#REF!,"AAAAAB20PbY=")</f>
        <v>#REF!</v>
      </c>
      <c r="GB56" s="1" t="e">
        <f>AND(#REF!,"AAAAAB20Pbc=")</f>
        <v>#REF!</v>
      </c>
      <c r="GC56" s="1" t="e">
        <f>AND(#REF!,"AAAAAB20Pbg=")</f>
        <v>#REF!</v>
      </c>
      <c r="GD56" s="1" t="e">
        <f>AND(#REF!,"AAAAAB20Pbk=")</f>
        <v>#REF!</v>
      </c>
      <c r="GE56" s="1" t="e">
        <f>AND(#REF!,"AAAAAB20Pbo=")</f>
        <v>#REF!</v>
      </c>
      <c r="GF56" s="1" t="e">
        <f>AND(#REF!,"AAAAAB20Pbs=")</f>
        <v>#REF!</v>
      </c>
      <c r="GG56" s="1" t="e">
        <f>AND(#REF!,"AAAAAB20Pbw=")</f>
        <v>#REF!</v>
      </c>
      <c r="GH56" s="1" t="e">
        <f>AND(#REF!,"AAAAAB20Pb0=")</f>
        <v>#REF!</v>
      </c>
      <c r="GI56" s="1" t="e">
        <f>AND(#REF!,"AAAAAB20Pb4=")</f>
        <v>#REF!</v>
      </c>
      <c r="GJ56" s="1" t="e">
        <f>AND(#REF!,"AAAAAB20Pb8=")</f>
        <v>#REF!</v>
      </c>
      <c r="GK56" s="1" t="e">
        <f>AND(#REF!,"AAAAAB20PcA=")</f>
        <v>#REF!</v>
      </c>
      <c r="GL56" s="1" t="e">
        <f>AND(#REF!,"AAAAAB20PcE=")</f>
        <v>#REF!</v>
      </c>
      <c r="GM56" s="1" t="e">
        <f>AND(#REF!,"AAAAAB20PcI=")</f>
        <v>#REF!</v>
      </c>
      <c r="GN56" s="1" t="e">
        <f>AND(#REF!,"AAAAAB20PcM=")</f>
        <v>#REF!</v>
      </c>
      <c r="GO56" s="1" t="e">
        <f>AND(#REF!,"AAAAAB20PcQ=")</f>
        <v>#REF!</v>
      </c>
      <c r="GP56" s="1" t="e">
        <f>AND(#REF!,"AAAAAB20PcU=")</f>
        <v>#REF!</v>
      </c>
      <c r="GQ56" s="1" t="e">
        <f>AND(#REF!,"AAAAAB20PcY=")</f>
        <v>#REF!</v>
      </c>
      <c r="GR56" s="1" t="e">
        <f>AND(#REF!,"AAAAAB20Pcc=")</f>
        <v>#REF!</v>
      </c>
      <c r="GS56" s="1" t="e">
        <f>AND(#REF!,"AAAAAB20Pcg=")</f>
        <v>#REF!</v>
      </c>
      <c r="GT56" s="1" t="e">
        <f>AND(#REF!,"AAAAAB20Pck=")</f>
        <v>#REF!</v>
      </c>
      <c r="GU56" s="1" t="e">
        <f>AND(#REF!,"AAAAAB20Pco=")</f>
        <v>#REF!</v>
      </c>
      <c r="GV56" s="1" t="e">
        <f>AND(#REF!,"AAAAAB20Pcs=")</f>
        <v>#REF!</v>
      </c>
      <c r="GW56" s="1" t="e">
        <f>AND(#REF!,"AAAAAB20Pcw=")</f>
        <v>#REF!</v>
      </c>
      <c r="GX56" s="1" t="e">
        <f>AND(#REF!,"AAAAAB20Pc0=")</f>
        <v>#REF!</v>
      </c>
      <c r="GY56" s="1" t="e">
        <f>AND(#REF!,"AAAAAB20Pc4=")</f>
        <v>#REF!</v>
      </c>
      <c r="GZ56" s="1" t="e">
        <f>IF(#REF!,"AAAAAB20Pc8=",0)</f>
        <v>#REF!</v>
      </c>
      <c r="HA56" s="1" t="e">
        <f>AND(#REF!,"AAAAAB20PdA=")</f>
        <v>#REF!</v>
      </c>
      <c r="HB56" s="1" t="e">
        <f>AND(#REF!,"AAAAAB20PdE=")</f>
        <v>#REF!</v>
      </c>
      <c r="HC56" s="1" t="e">
        <f>AND(#REF!,"AAAAAB20PdI=")</f>
        <v>#REF!</v>
      </c>
      <c r="HD56" s="1" t="e">
        <f>AND(#REF!,"AAAAAB20PdM=")</f>
        <v>#REF!</v>
      </c>
      <c r="HE56" s="1" t="e">
        <f>AND(#REF!,"AAAAAB20PdQ=")</f>
        <v>#REF!</v>
      </c>
      <c r="HF56" s="1" t="e">
        <f>AND(#REF!,"AAAAAB20PdU=")</f>
        <v>#REF!</v>
      </c>
      <c r="HG56" s="1" t="e">
        <f>AND(#REF!,"AAAAAB20PdY=")</f>
        <v>#REF!</v>
      </c>
      <c r="HH56" s="1" t="e">
        <f>AND(#REF!,"AAAAAB20Pdc=")</f>
        <v>#REF!</v>
      </c>
      <c r="HI56" s="1" t="e">
        <f>AND(#REF!,"AAAAAB20Pdg=")</f>
        <v>#REF!</v>
      </c>
      <c r="HJ56" s="1" t="e">
        <f>AND(#REF!,"AAAAAB20Pdk=")</f>
        <v>#REF!</v>
      </c>
      <c r="HK56" s="1" t="e">
        <f>AND(#REF!,"AAAAAB20Pdo=")</f>
        <v>#REF!</v>
      </c>
      <c r="HL56" s="1" t="e">
        <f>AND(#REF!,"AAAAAB20Pds=")</f>
        <v>#REF!</v>
      </c>
      <c r="HM56" s="1" t="e">
        <f>AND(#REF!,"AAAAAB20Pdw=")</f>
        <v>#REF!</v>
      </c>
      <c r="HN56" s="1" t="e">
        <f>AND(#REF!,"AAAAAB20Pd0=")</f>
        <v>#REF!</v>
      </c>
      <c r="HO56" s="1" t="e">
        <f>AND(#REF!,"AAAAAB20Pd4=")</f>
        <v>#REF!</v>
      </c>
      <c r="HP56" s="1" t="e">
        <f>AND(#REF!,"AAAAAB20Pd8=")</f>
        <v>#REF!</v>
      </c>
      <c r="HQ56" s="1" t="e">
        <f>AND(#REF!,"AAAAAB20PeA=")</f>
        <v>#REF!</v>
      </c>
      <c r="HR56" s="1" t="e">
        <f>AND(#REF!,"AAAAAB20PeE=")</f>
        <v>#REF!</v>
      </c>
      <c r="HS56" s="1" t="e">
        <f>AND(#REF!,"AAAAAB20PeI=")</f>
        <v>#REF!</v>
      </c>
      <c r="HT56" s="1" t="e">
        <f>AND(#REF!,"AAAAAB20PeM=")</f>
        <v>#REF!</v>
      </c>
      <c r="HU56" s="1" t="e">
        <f>AND(#REF!,"AAAAAB20PeQ=")</f>
        <v>#REF!</v>
      </c>
      <c r="HV56" s="1" t="e">
        <f>AND(#REF!,"AAAAAB20PeU=")</f>
        <v>#REF!</v>
      </c>
      <c r="HW56" s="1" t="e">
        <f>AND(#REF!,"AAAAAB20PeY=")</f>
        <v>#REF!</v>
      </c>
      <c r="HX56" s="1" t="e">
        <f>AND(#REF!,"AAAAAB20Pec=")</f>
        <v>#REF!</v>
      </c>
      <c r="HY56" s="1" t="e">
        <f>AND(#REF!,"AAAAAB20Peg=")</f>
        <v>#REF!</v>
      </c>
      <c r="HZ56" s="1" t="e">
        <f>IF(#REF!,"AAAAAB20Pek=",0)</f>
        <v>#REF!</v>
      </c>
      <c r="IA56" s="1" t="e">
        <f>AND(#REF!,"AAAAAB20Peo=")</f>
        <v>#REF!</v>
      </c>
      <c r="IB56" s="1" t="e">
        <f>AND(#REF!,"AAAAAB20Pes=")</f>
        <v>#REF!</v>
      </c>
      <c r="IC56" s="1" t="e">
        <f>AND(#REF!,"AAAAAB20Pew=")</f>
        <v>#REF!</v>
      </c>
      <c r="ID56" s="1" t="e">
        <f>AND(#REF!,"AAAAAB20Pe0=")</f>
        <v>#REF!</v>
      </c>
      <c r="IE56" s="1" t="e">
        <f>AND(#REF!,"AAAAAB20Pe4=")</f>
        <v>#REF!</v>
      </c>
      <c r="IF56" s="1" t="e">
        <f>AND(#REF!,"AAAAAB20Pe8=")</f>
        <v>#REF!</v>
      </c>
      <c r="IG56" s="1" t="e">
        <f>AND(#REF!,"AAAAAB20PfA=")</f>
        <v>#REF!</v>
      </c>
      <c r="IH56" s="1" t="e">
        <f>AND(#REF!,"AAAAAB20PfE=")</f>
        <v>#REF!</v>
      </c>
      <c r="II56" s="1" t="e">
        <f>AND(#REF!,"AAAAAB20PfI=")</f>
        <v>#REF!</v>
      </c>
      <c r="IJ56" s="1" t="e">
        <f>AND(#REF!,"AAAAAB20PfM=")</f>
        <v>#REF!</v>
      </c>
      <c r="IK56" s="1" t="e">
        <f>AND(#REF!,"AAAAAB20PfQ=")</f>
        <v>#REF!</v>
      </c>
      <c r="IL56" s="1" t="e">
        <f>AND(#REF!,"AAAAAB20PfU=")</f>
        <v>#REF!</v>
      </c>
      <c r="IM56" s="1" t="e">
        <f>AND(#REF!,"AAAAAB20PfY=")</f>
        <v>#REF!</v>
      </c>
      <c r="IN56" s="1" t="e">
        <f>AND(#REF!,"AAAAAB20Pfc=")</f>
        <v>#REF!</v>
      </c>
      <c r="IO56" s="1" t="e">
        <f>AND(#REF!,"AAAAAB20Pfg=")</f>
        <v>#REF!</v>
      </c>
      <c r="IP56" s="1" t="e">
        <f>AND(#REF!,"AAAAAB20Pfk=")</f>
        <v>#REF!</v>
      </c>
      <c r="IQ56" s="1" t="e">
        <f>AND(#REF!,"AAAAAB20Pfo=")</f>
        <v>#REF!</v>
      </c>
      <c r="IR56" s="1" t="e">
        <f>AND(#REF!,"AAAAAB20Pfs=")</f>
        <v>#REF!</v>
      </c>
      <c r="IS56" s="1" t="e">
        <f>AND(#REF!,"AAAAAB20Pfw=")</f>
        <v>#REF!</v>
      </c>
      <c r="IT56" s="1" t="e">
        <f>AND(#REF!,"AAAAAB20Pf0=")</f>
        <v>#REF!</v>
      </c>
      <c r="IU56" s="1" t="e">
        <f>AND(#REF!,"AAAAAB20Pf4=")</f>
        <v>#REF!</v>
      </c>
      <c r="IV56" s="1" t="e">
        <f>AND(#REF!,"AAAAAB20Pf8=")</f>
        <v>#REF!</v>
      </c>
    </row>
    <row r="57" spans="1:256" ht="15" customHeight="1" x14ac:dyDescent="0.2">
      <c r="A57" s="1" t="e">
        <f>AND(#REF!,"AAAAAB//zwA=")</f>
        <v>#REF!</v>
      </c>
      <c r="B57" s="1" t="e">
        <f>AND(#REF!,"AAAAAB//zwE=")</f>
        <v>#REF!</v>
      </c>
      <c r="C57" s="1" t="e">
        <f>AND(#REF!,"AAAAAB//zwI=")</f>
        <v>#REF!</v>
      </c>
      <c r="D57" s="1" t="e">
        <f>IF(#REF!,"AAAAAB//zwM=",0)</f>
        <v>#REF!</v>
      </c>
      <c r="E57" s="1" t="e">
        <f>AND(#REF!,"AAAAAB//zwQ=")</f>
        <v>#REF!</v>
      </c>
      <c r="F57" s="1" t="e">
        <f>AND(#REF!,"AAAAAB//zwU=")</f>
        <v>#REF!</v>
      </c>
      <c r="G57" s="1" t="e">
        <f>AND(#REF!,"AAAAAB//zwY=")</f>
        <v>#REF!</v>
      </c>
      <c r="H57" s="1" t="e">
        <f>AND(#REF!,"AAAAAB//zwc=")</f>
        <v>#REF!</v>
      </c>
      <c r="I57" s="1" t="e">
        <f>AND(#REF!,"AAAAAB//zwg=")</f>
        <v>#REF!</v>
      </c>
      <c r="J57" s="1" t="e">
        <f>AND(#REF!,"AAAAAB//zwk=")</f>
        <v>#REF!</v>
      </c>
      <c r="K57" s="1" t="e">
        <f>AND(#REF!,"AAAAAB//zwo=")</f>
        <v>#REF!</v>
      </c>
      <c r="L57" s="1" t="e">
        <f>AND(#REF!,"AAAAAB//zws=")</f>
        <v>#REF!</v>
      </c>
      <c r="M57" s="1" t="e">
        <f>AND(#REF!,"AAAAAB//zww=")</f>
        <v>#REF!</v>
      </c>
      <c r="N57" s="1" t="e">
        <f>AND(#REF!,"AAAAAB//zw0=")</f>
        <v>#REF!</v>
      </c>
      <c r="O57" s="1" t="e">
        <f>AND(#REF!,"AAAAAB//zw4=")</f>
        <v>#REF!</v>
      </c>
      <c r="P57" s="1" t="e">
        <f>AND(#REF!,"AAAAAB//zw8=")</f>
        <v>#REF!</v>
      </c>
      <c r="Q57" s="1" t="e">
        <f>AND(#REF!,"AAAAAB//zxA=")</f>
        <v>#REF!</v>
      </c>
      <c r="R57" s="1" t="e">
        <f>AND(#REF!,"AAAAAB//zxE=")</f>
        <v>#REF!</v>
      </c>
      <c r="S57" s="1" t="e">
        <f>AND(#REF!,"AAAAAB//zxI=")</f>
        <v>#REF!</v>
      </c>
      <c r="T57" s="1" t="e">
        <f>AND(#REF!,"AAAAAB//zxM=")</f>
        <v>#REF!</v>
      </c>
      <c r="U57" s="1" t="e">
        <f>AND(#REF!,"AAAAAB//zxQ=")</f>
        <v>#REF!</v>
      </c>
      <c r="V57" s="1" t="e">
        <f>AND(#REF!,"AAAAAB//zxU=")</f>
        <v>#REF!</v>
      </c>
      <c r="W57" s="1" t="e">
        <f>AND(#REF!,"AAAAAB//zxY=")</f>
        <v>#REF!</v>
      </c>
      <c r="X57" s="1" t="e">
        <f>AND(#REF!,"AAAAAB//zxc=")</f>
        <v>#REF!</v>
      </c>
      <c r="Y57" s="1" t="e">
        <f>AND(#REF!,"AAAAAB//zxg=")</f>
        <v>#REF!</v>
      </c>
      <c r="Z57" s="1" t="e">
        <f>AND(#REF!,"AAAAAB//zxk=")</f>
        <v>#REF!</v>
      </c>
      <c r="AA57" s="1" t="e">
        <f>AND(#REF!,"AAAAAB//zxo=")</f>
        <v>#REF!</v>
      </c>
      <c r="AB57" s="1" t="e">
        <f>AND(#REF!,"AAAAAB//zxs=")</f>
        <v>#REF!</v>
      </c>
      <c r="AC57" s="1" t="e">
        <f>AND(#REF!,"AAAAAB//zxw=")</f>
        <v>#REF!</v>
      </c>
      <c r="AD57" s="1" t="e">
        <f>IF(#REF!,"AAAAAB//zx0=",0)</f>
        <v>#REF!</v>
      </c>
      <c r="AE57" s="1" t="e">
        <f>AND(#REF!,"AAAAAB//zx4=")</f>
        <v>#REF!</v>
      </c>
      <c r="AF57" s="1" t="e">
        <f>AND(#REF!,"AAAAAB//zx8=")</f>
        <v>#REF!</v>
      </c>
      <c r="AG57" s="1" t="e">
        <f>AND(#REF!,"AAAAAB//zyA=")</f>
        <v>#REF!</v>
      </c>
      <c r="AH57" s="1" t="e">
        <f>AND(#REF!,"AAAAAB//zyE=")</f>
        <v>#REF!</v>
      </c>
      <c r="AI57" s="1" t="e">
        <f>AND(#REF!,"AAAAAB//zyI=")</f>
        <v>#REF!</v>
      </c>
      <c r="AJ57" s="1" t="e">
        <f>AND(#REF!,"AAAAAB//zyM=")</f>
        <v>#REF!</v>
      </c>
      <c r="AK57" s="1" t="e">
        <f>AND(#REF!,"AAAAAB//zyQ=")</f>
        <v>#REF!</v>
      </c>
      <c r="AL57" s="1" t="e">
        <f>AND(#REF!,"AAAAAB//zyU=")</f>
        <v>#REF!</v>
      </c>
      <c r="AM57" s="1" t="e">
        <f>AND(#REF!,"AAAAAB//zyY=")</f>
        <v>#REF!</v>
      </c>
      <c r="AN57" s="1" t="e">
        <f>AND(#REF!,"AAAAAB//zyc=")</f>
        <v>#REF!</v>
      </c>
      <c r="AO57" s="1" t="e">
        <f>AND(#REF!,"AAAAAB//zyg=")</f>
        <v>#REF!</v>
      </c>
      <c r="AP57" s="1" t="e">
        <f>AND(#REF!,"AAAAAB//zyk=")</f>
        <v>#REF!</v>
      </c>
      <c r="AQ57" s="1" t="e">
        <f>AND(#REF!,"AAAAAB//zyo=")</f>
        <v>#REF!</v>
      </c>
      <c r="AR57" s="1" t="e">
        <f>AND(#REF!,"AAAAAB//zys=")</f>
        <v>#REF!</v>
      </c>
      <c r="AS57" s="1" t="e">
        <f>AND(#REF!,"AAAAAB//zyw=")</f>
        <v>#REF!</v>
      </c>
      <c r="AT57" s="1" t="e">
        <f>AND(#REF!,"AAAAAB//zy0=")</f>
        <v>#REF!</v>
      </c>
      <c r="AU57" s="1" t="e">
        <f>AND(#REF!,"AAAAAB//zy4=")</f>
        <v>#REF!</v>
      </c>
      <c r="AV57" s="1" t="e">
        <f>AND(#REF!,"AAAAAB//zy8=")</f>
        <v>#REF!</v>
      </c>
      <c r="AW57" s="1" t="e">
        <f>AND(#REF!,"AAAAAB//zzA=")</f>
        <v>#REF!</v>
      </c>
      <c r="AX57" s="1" t="e">
        <f>AND(#REF!,"AAAAAB//zzE=")</f>
        <v>#REF!</v>
      </c>
      <c r="AY57" s="1" t="e">
        <f>AND(#REF!,"AAAAAB//zzI=")</f>
        <v>#REF!</v>
      </c>
      <c r="AZ57" s="1" t="e">
        <f>AND(#REF!,"AAAAAB//zzM=")</f>
        <v>#REF!</v>
      </c>
      <c r="BA57" s="1" t="e">
        <f>AND(#REF!,"AAAAAB//zzQ=")</f>
        <v>#REF!</v>
      </c>
      <c r="BB57" s="1" t="e">
        <f>AND(#REF!,"AAAAAB//zzU=")</f>
        <v>#REF!</v>
      </c>
      <c r="BC57" s="1" t="e">
        <f>AND(#REF!,"AAAAAB//zzY=")</f>
        <v>#REF!</v>
      </c>
      <c r="BD57" s="1" t="e">
        <f>IF(#REF!,"AAAAAB//zzc=",0)</f>
        <v>#REF!</v>
      </c>
      <c r="BE57" s="1" t="e">
        <f>AND(#REF!,"AAAAAB//zzg=")</f>
        <v>#REF!</v>
      </c>
      <c r="BF57" s="1" t="e">
        <f>AND(#REF!,"AAAAAB//zzk=")</f>
        <v>#REF!</v>
      </c>
      <c r="BG57" s="1" t="e">
        <f>AND(#REF!,"AAAAAB//zzo=")</f>
        <v>#REF!</v>
      </c>
      <c r="BH57" s="1" t="e">
        <f>AND(#REF!,"AAAAAB//zzs=")</f>
        <v>#REF!</v>
      </c>
      <c r="BI57" s="1" t="e">
        <f>AND(#REF!,"AAAAAB//zzw=")</f>
        <v>#REF!</v>
      </c>
      <c r="BJ57" s="1" t="e">
        <f>AND(#REF!,"AAAAAB//zz0=")</f>
        <v>#REF!</v>
      </c>
      <c r="BK57" s="1" t="e">
        <f>AND(#REF!,"AAAAAB//zz4=")</f>
        <v>#REF!</v>
      </c>
      <c r="BL57" s="1" t="e">
        <f>AND(#REF!,"AAAAAB//zz8=")</f>
        <v>#REF!</v>
      </c>
      <c r="BM57" s="1" t="e">
        <f>AND(#REF!,"AAAAAB//z0A=")</f>
        <v>#REF!</v>
      </c>
      <c r="BN57" s="1" t="e">
        <f>AND(#REF!,"AAAAAB//z0E=")</f>
        <v>#REF!</v>
      </c>
      <c r="BO57" s="1" t="e">
        <f>AND(#REF!,"AAAAAB//z0I=")</f>
        <v>#REF!</v>
      </c>
      <c r="BP57" s="1" t="e">
        <f>AND(#REF!,"AAAAAB//z0M=")</f>
        <v>#REF!</v>
      </c>
      <c r="BQ57" s="1" t="e">
        <f>AND(#REF!,"AAAAAB//z0Q=")</f>
        <v>#REF!</v>
      </c>
      <c r="BR57" s="1" t="e">
        <f>AND(#REF!,"AAAAAB//z0U=")</f>
        <v>#REF!</v>
      </c>
      <c r="BS57" s="1" t="e">
        <f>AND(#REF!,"AAAAAB//z0Y=")</f>
        <v>#REF!</v>
      </c>
      <c r="BT57" s="1" t="e">
        <f>AND(#REF!,"AAAAAB//z0c=")</f>
        <v>#REF!</v>
      </c>
      <c r="BU57" s="1" t="e">
        <f>AND(#REF!,"AAAAAB//z0g=")</f>
        <v>#REF!</v>
      </c>
      <c r="BV57" s="1" t="e">
        <f>AND(#REF!,"AAAAAB//z0k=")</f>
        <v>#REF!</v>
      </c>
      <c r="BW57" s="1" t="e">
        <f>AND(#REF!,"AAAAAB//z0o=")</f>
        <v>#REF!</v>
      </c>
      <c r="BX57" s="1" t="e">
        <f>AND(#REF!,"AAAAAB//z0s=")</f>
        <v>#REF!</v>
      </c>
      <c r="BY57" s="1" t="e">
        <f>AND(#REF!,"AAAAAB//z0w=")</f>
        <v>#REF!</v>
      </c>
      <c r="BZ57" s="1" t="e">
        <f>AND(#REF!,"AAAAAB//z00=")</f>
        <v>#REF!</v>
      </c>
      <c r="CA57" s="1" t="e">
        <f>AND(#REF!,"AAAAAB//z04=")</f>
        <v>#REF!</v>
      </c>
      <c r="CB57" s="1" t="e">
        <f>AND(#REF!,"AAAAAB//z08=")</f>
        <v>#REF!</v>
      </c>
      <c r="CC57" s="1" t="e">
        <f>AND(#REF!,"AAAAAB//z1A=")</f>
        <v>#REF!</v>
      </c>
      <c r="CD57" s="1" t="e">
        <f>IF(#REF!,"AAAAAB//z1E=",0)</f>
        <v>#REF!</v>
      </c>
      <c r="CE57" s="1" t="e">
        <f>AND(#REF!,"AAAAAB//z1I=")</f>
        <v>#REF!</v>
      </c>
      <c r="CF57" s="1" t="e">
        <f>AND(#REF!,"AAAAAB//z1M=")</f>
        <v>#REF!</v>
      </c>
      <c r="CG57" s="1" t="e">
        <f>AND(#REF!,"AAAAAB//z1Q=")</f>
        <v>#REF!</v>
      </c>
      <c r="CH57" s="1" t="e">
        <f>AND(#REF!,"AAAAAB//z1U=")</f>
        <v>#REF!</v>
      </c>
      <c r="CI57" s="1" t="e">
        <f>AND(#REF!,"AAAAAB//z1Y=")</f>
        <v>#REF!</v>
      </c>
      <c r="CJ57" s="1" t="e">
        <f>AND(#REF!,"AAAAAB//z1c=")</f>
        <v>#REF!</v>
      </c>
      <c r="CK57" s="1" t="e">
        <f>AND(#REF!,"AAAAAB//z1g=")</f>
        <v>#REF!</v>
      </c>
      <c r="CL57" s="1" t="e">
        <f>AND(#REF!,"AAAAAB//z1k=")</f>
        <v>#REF!</v>
      </c>
      <c r="CM57" s="1" t="e">
        <f>AND(#REF!,"AAAAAB//z1o=")</f>
        <v>#REF!</v>
      </c>
      <c r="CN57" s="1" t="e">
        <f>AND(#REF!,"AAAAAB//z1s=")</f>
        <v>#REF!</v>
      </c>
      <c r="CO57" s="1" t="e">
        <f>AND(#REF!,"AAAAAB//z1w=")</f>
        <v>#REF!</v>
      </c>
      <c r="CP57" s="1" t="e">
        <f>AND(#REF!,"AAAAAB//z10=")</f>
        <v>#REF!</v>
      </c>
      <c r="CQ57" s="1" t="e">
        <f>AND(#REF!,"AAAAAB//z14=")</f>
        <v>#REF!</v>
      </c>
      <c r="CR57" s="1" t="e">
        <f>AND(#REF!,"AAAAAB//z18=")</f>
        <v>#REF!</v>
      </c>
      <c r="CS57" s="1" t="e">
        <f>AND(#REF!,"AAAAAB//z2A=")</f>
        <v>#REF!</v>
      </c>
      <c r="CT57" s="1" t="e">
        <f>AND(#REF!,"AAAAAB//z2E=")</f>
        <v>#REF!</v>
      </c>
      <c r="CU57" s="1" t="e">
        <f>AND(#REF!,"AAAAAB//z2I=")</f>
        <v>#REF!</v>
      </c>
      <c r="CV57" s="1" t="e">
        <f>AND(#REF!,"AAAAAB//z2M=")</f>
        <v>#REF!</v>
      </c>
      <c r="CW57" s="1" t="e">
        <f>AND(#REF!,"AAAAAB//z2Q=")</f>
        <v>#REF!</v>
      </c>
      <c r="CX57" s="1" t="e">
        <f>AND(#REF!,"AAAAAB//z2U=")</f>
        <v>#REF!</v>
      </c>
      <c r="CY57" s="1" t="e">
        <f>AND(#REF!,"AAAAAB//z2Y=")</f>
        <v>#REF!</v>
      </c>
      <c r="CZ57" s="1" t="e">
        <f>AND(#REF!,"AAAAAB//z2c=")</f>
        <v>#REF!</v>
      </c>
      <c r="DA57" s="1" t="e">
        <f>AND(#REF!,"AAAAAB//z2g=")</f>
        <v>#REF!</v>
      </c>
      <c r="DB57" s="1" t="e">
        <f>AND(#REF!,"AAAAAB//z2k=")</f>
        <v>#REF!</v>
      </c>
      <c r="DC57" s="1" t="e">
        <f>AND(#REF!,"AAAAAB//z2o=")</f>
        <v>#REF!</v>
      </c>
      <c r="DD57" s="1" t="e">
        <f>IF(#REF!,"AAAAAB//z2s=",0)</f>
        <v>#REF!</v>
      </c>
      <c r="DE57" s="1" t="e">
        <f>AND(#REF!,"AAAAAB//z2w=")</f>
        <v>#REF!</v>
      </c>
      <c r="DF57" s="1" t="e">
        <f>AND(#REF!,"AAAAAB//z20=")</f>
        <v>#REF!</v>
      </c>
      <c r="DG57" s="1" t="e">
        <f>AND(#REF!,"AAAAAB//z24=")</f>
        <v>#REF!</v>
      </c>
      <c r="DH57" s="1" t="e">
        <f>AND(#REF!,"AAAAAB//z28=")</f>
        <v>#REF!</v>
      </c>
      <c r="DI57" s="1" t="e">
        <f>AND(#REF!,"AAAAAB//z3A=")</f>
        <v>#REF!</v>
      </c>
      <c r="DJ57" s="1" t="e">
        <f>AND(#REF!,"AAAAAB//z3E=")</f>
        <v>#REF!</v>
      </c>
      <c r="DK57" s="1" t="e">
        <f>AND(#REF!,"AAAAAB//z3I=")</f>
        <v>#REF!</v>
      </c>
      <c r="DL57" s="1" t="e">
        <f>AND(#REF!,"AAAAAB//z3M=")</f>
        <v>#REF!</v>
      </c>
      <c r="DM57" s="1" t="e">
        <f>AND(#REF!,"AAAAAB//z3Q=")</f>
        <v>#REF!</v>
      </c>
      <c r="DN57" s="1" t="e">
        <f>AND(#REF!,"AAAAAB//z3U=")</f>
        <v>#REF!</v>
      </c>
      <c r="DO57" s="1" t="e">
        <f>AND(#REF!,"AAAAAB//z3Y=")</f>
        <v>#REF!</v>
      </c>
      <c r="DP57" s="1" t="e">
        <f>AND(#REF!,"AAAAAB//z3c=")</f>
        <v>#REF!</v>
      </c>
      <c r="DQ57" s="1" t="e">
        <f>AND(#REF!,"AAAAAB//z3g=")</f>
        <v>#REF!</v>
      </c>
      <c r="DR57" s="1" t="e">
        <f>AND(#REF!,"AAAAAB//z3k=")</f>
        <v>#REF!</v>
      </c>
      <c r="DS57" s="1" t="e">
        <f>AND(#REF!,"AAAAAB//z3o=")</f>
        <v>#REF!</v>
      </c>
      <c r="DT57" s="1" t="e">
        <f>AND(#REF!,"AAAAAB//z3s=")</f>
        <v>#REF!</v>
      </c>
      <c r="DU57" s="1" t="e">
        <f>AND(#REF!,"AAAAAB//z3w=")</f>
        <v>#REF!</v>
      </c>
      <c r="DV57" s="1" t="e">
        <f>AND(#REF!,"AAAAAB//z30=")</f>
        <v>#REF!</v>
      </c>
      <c r="DW57" s="1" t="e">
        <f>AND(#REF!,"AAAAAB//z34=")</f>
        <v>#REF!</v>
      </c>
      <c r="DX57" s="1" t="e">
        <f>AND(#REF!,"AAAAAB//z38=")</f>
        <v>#REF!</v>
      </c>
      <c r="DY57" s="1" t="e">
        <f>AND(#REF!,"AAAAAB//z4A=")</f>
        <v>#REF!</v>
      </c>
      <c r="DZ57" s="1" t="e">
        <f>AND(#REF!,"AAAAAB//z4E=")</f>
        <v>#REF!</v>
      </c>
      <c r="EA57" s="1" t="e">
        <f>AND(#REF!,"AAAAAB//z4I=")</f>
        <v>#REF!</v>
      </c>
      <c r="EB57" s="1" t="e">
        <f>AND(#REF!,"AAAAAB//z4M=")</f>
        <v>#REF!</v>
      </c>
      <c r="EC57" s="1" t="e">
        <f>AND(#REF!,"AAAAAB//z4Q=")</f>
        <v>#REF!</v>
      </c>
      <c r="ED57" s="1" t="e">
        <f>IF(#REF!,"AAAAAB//z4U=",0)</f>
        <v>#REF!</v>
      </c>
      <c r="EE57" s="1" t="e">
        <f>AND(#REF!,"AAAAAB//z4Y=")</f>
        <v>#REF!</v>
      </c>
      <c r="EF57" s="1" t="e">
        <f>AND(#REF!,"AAAAAB//z4c=")</f>
        <v>#REF!</v>
      </c>
      <c r="EG57" s="1" t="e">
        <f>AND(#REF!,"AAAAAB//z4g=")</f>
        <v>#REF!</v>
      </c>
      <c r="EH57" s="1" t="e">
        <f>AND(#REF!,"AAAAAB//z4k=")</f>
        <v>#REF!</v>
      </c>
      <c r="EI57" s="1" t="e">
        <f>AND(#REF!,"AAAAAB//z4o=")</f>
        <v>#REF!</v>
      </c>
      <c r="EJ57" s="1" t="e">
        <f>AND(#REF!,"AAAAAB//z4s=")</f>
        <v>#REF!</v>
      </c>
      <c r="EK57" s="1" t="e">
        <f>AND(#REF!,"AAAAAB//z4w=")</f>
        <v>#REF!</v>
      </c>
      <c r="EL57" s="1" t="e">
        <f>AND(#REF!,"AAAAAB//z40=")</f>
        <v>#REF!</v>
      </c>
      <c r="EM57" s="1" t="e">
        <f>AND(#REF!,"AAAAAB//z44=")</f>
        <v>#REF!</v>
      </c>
      <c r="EN57" s="1" t="e">
        <f>AND(#REF!,"AAAAAB//z48=")</f>
        <v>#REF!</v>
      </c>
      <c r="EO57" s="1" t="e">
        <f>AND(#REF!,"AAAAAB//z5A=")</f>
        <v>#REF!</v>
      </c>
      <c r="EP57" s="1" t="e">
        <f>AND(#REF!,"AAAAAB//z5E=")</f>
        <v>#REF!</v>
      </c>
      <c r="EQ57" s="1" t="e">
        <f>AND(#REF!,"AAAAAB//z5I=")</f>
        <v>#REF!</v>
      </c>
      <c r="ER57" s="1" t="e">
        <f>AND(#REF!,"AAAAAB//z5M=")</f>
        <v>#REF!</v>
      </c>
      <c r="ES57" s="1" t="e">
        <f>AND(#REF!,"AAAAAB//z5Q=")</f>
        <v>#REF!</v>
      </c>
      <c r="ET57" s="1" t="e">
        <f>AND(#REF!,"AAAAAB//z5U=")</f>
        <v>#REF!</v>
      </c>
      <c r="EU57" s="1" t="e">
        <f>AND(#REF!,"AAAAAB//z5Y=")</f>
        <v>#REF!</v>
      </c>
      <c r="EV57" s="1" t="e">
        <f>AND(#REF!,"AAAAAB//z5c=")</f>
        <v>#REF!</v>
      </c>
      <c r="EW57" s="1" t="e">
        <f>AND(#REF!,"AAAAAB//z5g=")</f>
        <v>#REF!</v>
      </c>
      <c r="EX57" s="1" t="e">
        <f>AND(#REF!,"AAAAAB//z5k=")</f>
        <v>#REF!</v>
      </c>
      <c r="EY57" s="1" t="e">
        <f>AND(#REF!,"AAAAAB//z5o=")</f>
        <v>#REF!</v>
      </c>
      <c r="EZ57" s="1" t="e">
        <f>AND(#REF!,"AAAAAB//z5s=")</f>
        <v>#REF!</v>
      </c>
      <c r="FA57" s="1" t="e">
        <f>AND(#REF!,"AAAAAB//z5w=")</f>
        <v>#REF!</v>
      </c>
      <c r="FB57" s="1" t="e">
        <f>AND(#REF!,"AAAAAB//z50=")</f>
        <v>#REF!</v>
      </c>
      <c r="FC57" s="1" t="e">
        <f>AND(#REF!,"AAAAAB//z54=")</f>
        <v>#REF!</v>
      </c>
      <c r="FD57" s="1" t="e">
        <f>IF(#REF!,"AAAAAB//z58=",0)</f>
        <v>#REF!</v>
      </c>
      <c r="FE57" s="1" t="e">
        <f>AND(#REF!,"AAAAAB//z6A=")</f>
        <v>#REF!</v>
      </c>
      <c r="FF57" s="1" t="e">
        <f>AND(#REF!,"AAAAAB//z6E=")</f>
        <v>#REF!</v>
      </c>
      <c r="FG57" s="1" t="e">
        <f>AND(#REF!,"AAAAAB//z6I=")</f>
        <v>#REF!</v>
      </c>
      <c r="FH57" s="1" t="e">
        <f>AND(#REF!,"AAAAAB//z6M=")</f>
        <v>#REF!</v>
      </c>
      <c r="FI57" s="1" t="e">
        <f>AND(#REF!,"AAAAAB//z6Q=")</f>
        <v>#REF!</v>
      </c>
      <c r="FJ57" s="1" t="e">
        <f>AND(#REF!,"AAAAAB//z6U=")</f>
        <v>#REF!</v>
      </c>
      <c r="FK57" s="1" t="e">
        <f>AND(#REF!,"AAAAAB//z6Y=")</f>
        <v>#REF!</v>
      </c>
      <c r="FL57" s="1" t="e">
        <f>AND(#REF!,"AAAAAB//z6c=")</f>
        <v>#REF!</v>
      </c>
      <c r="FM57" s="1" t="e">
        <f>AND(#REF!,"AAAAAB//z6g=")</f>
        <v>#REF!</v>
      </c>
      <c r="FN57" s="1" t="e">
        <f>AND(#REF!,"AAAAAB//z6k=")</f>
        <v>#REF!</v>
      </c>
      <c r="FO57" s="1" t="e">
        <f>AND(#REF!,"AAAAAB//z6o=")</f>
        <v>#REF!</v>
      </c>
      <c r="FP57" s="1" t="e">
        <f>AND(#REF!,"AAAAAB//z6s=")</f>
        <v>#REF!</v>
      </c>
      <c r="FQ57" s="1" t="e">
        <f>AND(#REF!,"AAAAAB//z6w=")</f>
        <v>#REF!</v>
      </c>
      <c r="FR57" s="1" t="e">
        <f>AND(#REF!,"AAAAAB//z60=")</f>
        <v>#REF!</v>
      </c>
      <c r="FS57" s="1" t="e">
        <f>AND(#REF!,"AAAAAB//z64=")</f>
        <v>#REF!</v>
      </c>
      <c r="FT57" s="1" t="e">
        <f>AND(#REF!,"AAAAAB//z68=")</f>
        <v>#REF!</v>
      </c>
      <c r="FU57" s="1" t="e">
        <f>AND(#REF!,"AAAAAB//z7A=")</f>
        <v>#REF!</v>
      </c>
      <c r="FV57" s="1" t="e">
        <f>AND(#REF!,"AAAAAB//z7E=")</f>
        <v>#REF!</v>
      </c>
      <c r="FW57" s="1" t="e">
        <f>AND(#REF!,"AAAAAB//z7I=")</f>
        <v>#REF!</v>
      </c>
      <c r="FX57" s="1" t="e">
        <f>AND(#REF!,"AAAAAB//z7M=")</f>
        <v>#REF!</v>
      </c>
      <c r="FY57" s="1" t="e">
        <f>AND(#REF!,"AAAAAB//z7Q=")</f>
        <v>#REF!</v>
      </c>
      <c r="FZ57" s="1" t="e">
        <f>AND(#REF!,"AAAAAB//z7U=")</f>
        <v>#REF!</v>
      </c>
      <c r="GA57" s="1" t="e">
        <f>AND(#REF!,"AAAAAB//z7Y=")</f>
        <v>#REF!</v>
      </c>
      <c r="GB57" s="1" t="e">
        <f>AND(#REF!,"AAAAAB//z7c=")</f>
        <v>#REF!</v>
      </c>
      <c r="GC57" s="1" t="e">
        <f>AND(#REF!,"AAAAAB//z7g=")</f>
        <v>#REF!</v>
      </c>
      <c r="GD57" s="1" t="e">
        <f>IF(#REF!,"AAAAAB//z7k=",0)</f>
        <v>#REF!</v>
      </c>
      <c r="GE57" s="1" t="e">
        <f>AND(#REF!,"AAAAAB//z7o=")</f>
        <v>#REF!</v>
      </c>
      <c r="GF57" s="1" t="e">
        <f>AND(#REF!,"AAAAAB//z7s=")</f>
        <v>#REF!</v>
      </c>
      <c r="GG57" s="1" t="e">
        <f>AND(#REF!,"AAAAAB//z7w=")</f>
        <v>#REF!</v>
      </c>
      <c r="GH57" s="1" t="e">
        <f>AND(#REF!,"AAAAAB//z70=")</f>
        <v>#REF!</v>
      </c>
      <c r="GI57" s="1" t="e">
        <f>AND(#REF!,"AAAAAB//z74=")</f>
        <v>#REF!</v>
      </c>
      <c r="GJ57" s="1" t="e">
        <f>AND(#REF!,"AAAAAB//z78=")</f>
        <v>#REF!</v>
      </c>
      <c r="GK57" s="1" t="e">
        <f>AND(#REF!,"AAAAAB//z8A=")</f>
        <v>#REF!</v>
      </c>
      <c r="GL57" s="1" t="e">
        <f>AND(#REF!,"AAAAAB//z8E=")</f>
        <v>#REF!</v>
      </c>
      <c r="GM57" s="1" t="e">
        <f>AND(#REF!,"AAAAAB//z8I=")</f>
        <v>#REF!</v>
      </c>
      <c r="GN57" s="1" t="e">
        <f>AND(#REF!,"AAAAAB//z8M=")</f>
        <v>#REF!</v>
      </c>
      <c r="GO57" s="1" t="e">
        <f>AND(#REF!,"AAAAAB//z8Q=")</f>
        <v>#REF!</v>
      </c>
      <c r="GP57" s="1" t="e">
        <f>AND(#REF!,"AAAAAB//z8U=")</f>
        <v>#REF!</v>
      </c>
      <c r="GQ57" s="1" t="e">
        <f>AND(#REF!,"AAAAAB//z8Y=")</f>
        <v>#REF!</v>
      </c>
      <c r="GR57" s="1" t="e">
        <f>AND(#REF!,"AAAAAB//z8c=")</f>
        <v>#REF!</v>
      </c>
      <c r="GS57" s="1" t="e">
        <f>AND(#REF!,"AAAAAB//z8g=")</f>
        <v>#REF!</v>
      </c>
      <c r="GT57" s="1" t="e">
        <f>AND(#REF!,"AAAAAB//z8k=")</f>
        <v>#REF!</v>
      </c>
      <c r="GU57" s="1" t="e">
        <f>AND(#REF!,"AAAAAB//z8o=")</f>
        <v>#REF!</v>
      </c>
      <c r="GV57" s="1" t="e">
        <f>AND(#REF!,"AAAAAB//z8s=")</f>
        <v>#REF!</v>
      </c>
      <c r="GW57" s="1" t="e">
        <f>AND(#REF!,"AAAAAB//z8w=")</f>
        <v>#REF!</v>
      </c>
      <c r="GX57" s="1" t="e">
        <f>AND(#REF!,"AAAAAB//z80=")</f>
        <v>#REF!</v>
      </c>
      <c r="GY57" s="1" t="e">
        <f>AND(#REF!,"AAAAAB//z84=")</f>
        <v>#REF!</v>
      </c>
      <c r="GZ57" s="1" t="e">
        <f>AND(#REF!,"AAAAAB//z88=")</f>
        <v>#REF!</v>
      </c>
      <c r="HA57" s="1" t="e">
        <f>AND(#REF!,"AAAAAB//z9A=")</f>
        <v>#REF!</v>
      </c>
      <c r="HB57" s="1" t="e">
        <f>AND(#REF!,"AAAAAB//z9E=")</f>
        <v>#REF!</v>
      </c>
      <c r="HC57" s="1" t="e">
        <f>AND(#REF!,"AAAAAB//z9I=")</f>
        <v>#REF!</v>
      </c>
      <c r="HD57" s="1" t="e">
        <f>IF(#REF!,"AAAAAB//z9M=",0)</f>
        <v>#REF!</v>
      </c>
      <c r="HE57" s="1" t="e">
        <f>IF(#REF!,"AAAAAB//z9Q=",0)</f>
        <v>#REF!</v>
      </c>
      <c r="HF57" s="1" t="e">
        <f>IF(#REF!,"AAAAAB//z9U=",0)</f>
        <v>#REF!</v>
      </c>
      <c r="HG57" s="1" t="e">
        <f>IF(#REF!,"AAAAAB//z9Y=",0)</f>
        <v>#REF!</v>
      </c>
      <c r="HH57" s="1" t="e">
        <f>IF(#REF!,"AAAAAB//z9c=",0)</f>
        <v>#REF!</v>
      </c>
      <c r="HI57" s="1" t="e">
        <f>IF(#REF!,"AAAAAB//z9g=",0)</f>
        <v>#REF!</v>
      </c>
      <c r="HJ57" s="1" t="e">
        <f>IF(#REF!,"AAAAAB//z9k=",0)</f>
        <v>#REF!</v>
      </c>
      <c r="HK57" s="1" t="e">
        <f>IF(#REF!,"AAAAAB//z9o=",0)</f>
        <v>#REF!</v>
      </c>
      <c r="HL57" s="1" t="e">
        <f>IF(#REF!,"AAAAAB//z9s=",0)</f>
        <v>#REF!</v>
      </c>
      <c r="HM57" s="1" t="e">
        <f>IF(#REF!,"AAAAAB//z9w=",0)</f>
        <v>#REF!</v>
      </c>
      <c r="HN57" s="1" t="e">
        <f>IF(#REF!,"AAAAAB//z90=",0)</f>
        <v>#REF!</v>
      </c>
      <c r="HO57" s="1" t="e">
        <f>IF(#REF!,"AAAAAB//z94=",0)</f>
        <v>#REF!</v>
      </c>
      <c r="HP57" s="1" t="e">
        <f>IF(#REF!,"AAAAAB//z98=",0)</f>
        <v>#REF!</v>
      </c>
      <c r="HQ57" s="1" t="e">
        <f>IF(#REF!,"AAAAAB//z+A=",0)</f>
        <v>#REF!</v>
      </c>
      <c r="HR57" s="1" t="e">
        <f>IF(#REF!,"AAAAAB//z+E=",0)</f>
        <v>#REF!</v>
      </c>
      <c r="HS57" s="1" t="e">
        <f>IF(#REF!,"AAAAAB//z+I=",0)</f>
        <v>#REF!</v>
      </c>
      <c r="HT57" s="1" t="e">
        <f>IF(#REF!,"AAAAAB//z+M=",0)</f>
        <v>#REF!</v>
      </c>
      <c r="HU57" s="1" t="e">
        <f>IF(#REF!,"AAAAAB//z+Q=",0)</f>
        <v>#REF!</v>
      </c>
      <c r="HV57" s="1" t="e">
        <f>IF(#REF!,"AAAAAB//z+U=",0)</f>
        <v>#REF!</v>
      </c>
      <c r="HW57" s="1" t="e">
        <f>IF(#REF!,"AAAAAB//z+Y=",0)</f>
        <v>#REF!</v>
      </c>
      <c r="HX57" s="1" t="e">
        <f>IF(#REF!,"AAAAAB//z+c=",0)</f>
        <v>#REF!</v>
      </c>
      <c r="HY57" s="1" t="e">
        <f>IF(#REF!,"AAAAAB//z+g=",0)</f>
        <v>#REF!</v>
      </c>
      <c r="HZ57" s="1" t="e">
        <f>IF(#REF!,"AAAAAB//z+k=",0)</f>
        <v>#REF!</v>
      </c>
      <c r="IA57" s="1" t="e">
        <f>IF(#REF!,"AAAAAB//z+o=",0)</f>
        <v>#REF!</v>
      </c>
      <c r="IB57" s="1" t="e">
        <f>IF(#REF!,"AAAAAB//z+s=",0)</f>
        <v>#REF!</v>
      </c>
      <c r="IC57" s="1" t="e">
        <f>IF(#REF!,"AAAAAB//z+w=",0)</f>
        <v>#REF!</v>
      </c>
      <c r="ID57" s="1" t="e">
        <f>IF(#REF!,"AAAAAB//z+0=",0)</f>
        <v>#REF!</v>
      </c>
      <c r="IE57" s="1" t="e">
        <f>IF(#REF!,"AAAAAB//z+4=",0)</f>
        <v>#REF!</v>
      </c>
      <c r="IF57" s="1" t="e">
        <f>IF(#REF!,"AAAAAB//z+8=",0)</f>
        <v>#REF!</v>
      </c>
      <c r="IG57" s="1" t="e">
        <f>IF(#REF!,"AAAAAB//z/A=",0)</f>
        <v>#REF!</v>
      </c>
      <c r="IH57" s="1" t="e">
        <f>IF(#REF!,"AAAAAB//z/E=",0)</f>
        <v>#REF!</v>
      </c>
      <c r="II57" s="1" t="e">
        <f>IF(#REF!,"AAAAAB//z/I=",0)</f>
        <v>#REF!</v>
      </c>
      <c r="IJ57" s="1" t="e">
        <f>IF(#REF!,"AAAAAB//z/M=",0)</f>
        <v>#REF!</v>
      </c>
      <c r="IK57" s="1" t="e">
        <f>IF(#REF!,"AAAAAB//z/Q=",0)</f>
        <v>#REF!</v>
      </c>
      <c r="IL57" s="1" t="e">
        <f>IF(#REF!,"AAAAAB//z/U=",0)</f>
        <v>#REF!</v>
      </c>
      <c r="IM57" s="1" t="e">
        <f>IF(#REF!,"AAAAAB//z/Y=",0)</f>
        <v>#REF!</v>
      </c>
      <c r="IN57" s="1" t="e">
        <f>IF(#REF!,"AAAAAB//z/c=",0)</f>
        <v>#REF!</v>
      </c>
      <c r="IO57" s="1" t="e">
        <f>IF(#REF!,"AAAAAB//z/g=",0)</f>
        <v>#REF!</v>
      </c>
      <c r="IP57" s="1" t="e">
        <f>IF(#REF!,"AAAAAB//z/k=",0)</f>
        <v>#REF!</v>
      </c>
      <c r="IQ57" s="1" t="e">
        <f>IF(#REF!,"AAAAAB//z/o=",0)</f>
        <v>#REF!</v>
      </c>
      <c r="IR57" s="1" t="s">
        <v>6</v>
      </c>
      <c r="IS57" s="13" t="s">
        <v>3</v>
      </c>
    </row>
    <row r="58" spans="1:256" ht="15" customHeight="1" x14ac:dyDescent="0.2">
      <c r="A58" t="e">
        <f>IF(#REF!,"AAAAACvznwA=",0)</f>
        <v>#REF!</v>
      </c>
      <c r="B58" t="e">
        <f>AND(#REF!,"AAAAACvznwE=")</f>
        <v>#REF!</v>
      </c>
      <c r="C58" t="e">
        <f>AND(#REF!,"AAAAACvznwI=")</f>
        <v>#REF!</v>
      </c>
      <c r="D58" t="e">
        <f>AND(#REF!,"AAAAACvznwM=")</f>
        <v>#REF!</v>
      </c>
      <c r="E58" t="e">
        <f>AND(#REF!,"AAAAACvznwQ=")</f>
        <v>#REF!</v>
      </c>
      <c r="F58" t="e">
        <f>AND(#REF!,"AAAAACvznwU=")</f>
        <v>#REF!</v>
      </c>
      <c r="G58" t="e">
        <f>AND(#REF!,"AAAAACvznwY=")</f>
        <v>#REF!</v>
      </c>
      <c r="H58" t="e">
        <f>AND(#REF!,"AAAAACvznwc=")</f>
        <v>#REF!</v>
      </c>
      <c r="I58" t="e">
        <f>AND(#REF!,"AAAAACvznwg=")</f>
        <v>#REF!</v>
      </c>
      <c r="J58" t="e">
        <f>AND(#REF!,"AAAAACvznwk=")</f>
        <v>#REF!</v>
      </c>
      <c r="K58" t="e">
        <f>AND(#REF!,"AAAAACvznwo=")</f>
        <v>#REF!</v>
      </c>
      <c r="L58" t="e">
        <f>AND(#REF!,"AAAAACvznws=")</f>
        <v>#REF!</v>
      </c>
      <c r="M58" t="e">
        <f>AND(#REF!,"AAAAACvznww=")</f>
        <v>#REF!</v>
      </c>
      <c r="N58" t="e">
        <f>AND(#REF!,"AAAAACvznw0=")</f>
        <v>#REF!</v>
      </c>
      <c r="O58" t="e">
        <f>AND(#REF!,"AAAAACvznw4=")</f>
        <v>#REF!</v>
      </c>
      <c r="P58" t="e">
        <f>AND(#REF!,"AAAAACvznw8=")</f>
        <v>#REF!</v>
      </c>
      <c r="Q58" t="e">
        <f>AND(#REF!,"AAAAACvznxA=")</f>
        <v>#REF!</v>
      </c>
      <c r="R58" t="e">
        <f>AND(#REF!,"AAAAACvznxE=")</f>
        <v>#REF!</v>
      </c>
      <c r="S58" t="e">
        <f>AND(#REF!,"AAAAACvznxI=")</f>
        <v>#REF!</v>
      </c>
      <c r="T58" t="e">
        <f>AND(#REF!,"AAAAACvznxM=")</f>
        <v>#REF!</v>
      </c>
      <c r="U58" t="e">
        <f>AND(#REF!,"AAAAACvznxQ=")</f>
        <v>#REF!</v>
      </c>
      <c r="V58" t="e">
        <f>AND(#REF!,"AAAAACvznxU=")</f>
        <v>#REF!</v>
      </c>
      <c r="W58" t="e">
        <f>IF(#REF!,"AAAAACvznxY=",0)</f>
        <v>#REF!</v>
      </c>
      <c r="X58" t="e">
        <f>AND(#REF!,"AAAAACvznxc=")</f>
        <v>#REF!</v>
      </c>
      <c r="Y58" t="e">
        <f>AND(#REF!,"AAAAACvznxg=")</f>
        <v>#REF!</v>
      </c>
      <c r="Z58" t="e">
        <f>AND(#REF!,"AAAAACvznxk=")</f>
        <v>#REF!</v>
      </c>
      <c r="AA58" t="e">
        <f>AND(#REF!,"AAAAACvznxo=")</f>
        <v>#REF!</v>
      </c>
      <c r="AB58" t="e">
        <f>AND(#REF!,"AAAAACvznxs=")</f>
        <v>#REF!</v>
      </c>
      <c r="AC58" t="e">
        <f>AND(#REF!,"AAAAACvznxw=")</f>
        <v>#REF!</v>
      </c>
      <c r="AD58" t="e">
        <f>AND(#REF!,"AAAAACvznx0=")</f>
        <v>#REF!</v>
      </c>
      <c r="AE58" t="e">
        <f>AND(#REF!,"AAAAACvznx4=")</f>
        <v>#REF!</v>
      </c>
      <c r="AF58" t="e">
        <f>AND(#REF!,"AAAAACvznx8=")</f>
        <v>#REF!</v>
      </c>
      <c r="AG58" t="e">
        <f>AND(#REF!,"AAAAACvznyA=")</f>
        <v>#REF!</v>
      </c>
      <c r="AH58" t="e">
        <f>AND(#REF!,"AAAAACvznyE=")</f>
        <v>#REF!</v>
      </c>
      <c r="AI58" t="e">
        <f>AND(#REF!,"AAAAACvznyI=")</f>
        <v>#REF!</v>
      </c>
      <c r="AJ58" t="e">
        <f>AND(#REF!,"AAAAACvznyM=")</f>
        <v>#REF!</v>
      </c>
      <c r="AK58" t="e">
        <f>AND(#REF!,"AAAAACvznyQ=")</f>
        <v>#REF!</v>
      </c>
      <c r="AL58" t="e">
        <f>AND(#REF!,"AAAAACvznyU=")</f>
        <v>#REF!</v>
      </c>
      <c r="AM58" t="e">
        <f>AND(#REF!,"AAAAACvznyY=")</f>
        <v>#REF!</v>
      </c>
      <c r="AN58" t="e">
        <f>AND(#REF!,"AAAAACvznyc=")</f>
        <v>#REF!</v>
      </c>
      <c r="AO58" t="e">
        <f>AND(#REF!,"AAAAACvznyg=")</f>
        <v>#REF!</v>
      </c>
      <c r="AP58" t="e">
        <f>AND(#REF!,"AAAAACvznyk=")</f>
        <v>#REF!</v>
      </c>
      <c r="AQ58" t="e">
        <f>AND(#REF!,"AAAAACvznyo=")</f>
        <v>#REF!</v>
      </c>
      <c r="AR58" t="e">
        <f>AND(#REF!,"AAAAACvznys=")</f>
        <v>#REF!</v>
      </c>
      <c r="AS58" t="e">
        <f>IF(#REF!,"AAAAACvznyw=",0)</f>
        <v>#REF!</v>
      </c>
      <c r="AT58" t="e">
        <f>AND(#REF!,"AAAAACvzny0=")</f>
        <v>#REF!</v>
      </c>
      <c r="AU58" t="e">
        <f>AND(#REF!,"AAAAACvzny4=")</f>
        <v>#REF!</v>
      </c>
      <c r="AV58" t="e">
        <f>AND(#REF!,"AAAAACvzny8=")</f>
        <v>#REF!</v>
      </c>
      <c r="AW58" t="e">
        <f>AND(#REF!,"AAAAACvznzA=")</f>
        <v>#REF!</v>
      </c>
      <c r="AX58" t="e">
        <f>AND(#REF!,"AAAAACvznzE=")</f>
        <v>#REF!</v>
      </c>
      <c r="AY58" t="e">
        <f>AND(#REF!,"AAAAACvznzI=")</f>
        <v>#REF!</v>
      </c>
      <c r="AZ58" t="e">
        <f>AND(#REF!,"AAAAACvznzM=")</f>
        <v>#REF!</v>
      </c>
      <c r="BA58" t="e">
        <f>AND(#REF!,"AAAAACvznzQ=")</f>
        <v>#REF!</v>
      </c>
      <c r="BB58" t="e">
        <f>AND(#REF!,"AAAAACvznzU=")</f>
        <v>#REF!</v>
      </c>
      <c r="BC58" t="e">
        <f>AND(#REF!,"AAAAACvznzY=")</f>
        <v>#REF!</v>
      </c>
      <c r="BD58" t="e">
        <f>AND(#REF!,"AAAAACvznzc=")</f>
        <v>#REF!</v>
      </c>
      <c r="BE58" t="e">
        <f>AND(#REF!,"AAAAACvznzg=")</f>
        <v>#REF!</v>
      </c>
      <c r="BF58" t="e">
        <f>AND(#REF!,"AAAAACvznzk=")</f>
        <v>#REF!</v>
      </c>
      <c r="BG58" t="e">
        <f>AND(#REF!,"AAAAACvznzo=")</f>
        <v>#REF!</v>
      </c>
      <c r="BH58" t="e">
        <f>AND(#REF!,"AAAAACvznzs=")</f>
        <v>#REF!</v>
      </c>
      <c r="BI58" t="e">
        <f>AND(#REF!,"AAAAACvznzw=")</f>
        <v>#REF!</v>
      </c>
      <c r="BJ58" t="e">
        <f>AND(#REF!,"AAAAACvznz0=")</f>
        <v>#REF!</v>
      </c>
      <c r="BK58" t="e">
        <f>AND(#REF!,"AAAAACvznz4=")</f>
        <v>#REF!</v>
      </c>
      <c r="BL58" t="e">
        <f>AND(#REF!,"AAAAACvznz8=")</f>
        <v>#REF!</v>
      </c>
      <c r="BM58" t="e">
        <f>AND(#REF!,"AAAAACvzn0A=")</f>
        <v>#REF!</v>
      </c>
      <c r="BN58" t="e">
        <f>AND(#REF!,"AAAAACvzn0E=")</f>
        <v>#REF!</v>
      </c>
      <c r="BO58" t="e">
        <f>IF(#REF!,"AAAAACvzn0I=",0)</f>
        <v>#REF!</v>
      </c>
      <c r="BP58" t="e">
        <f>AND(#REF!,"AAAAACvzn0M=")</f>
        <v>#REF!</v>
      </c>
      <c r="BQ58" t="e">
        <f>AND(#REF!,"AAAAACvzn0Q=")</f>
        <v>#REF!</v>
      </c>
      <c r="BR58" t="e">
        <f>AND(#REF!,"AAAAACvzn0U=")</f>
        <v>#REF!</v>
      </c>
      <c r="BS58" t="e">
        <f>AND(#REF!,"AAAAACvzn0Y=")</f>
        <v>#REF!</v>
      </c>
      <c r="BT58" t="e">
        <f>AND(#REF!,"AAAAACvzn0c=")</f>
        <v>#REF!</v>
      </c>
      <c r="BU58" t="e">
        <f>AND(#REF!,"AAAAACvzn0g=")</f>
        <v>#REF!</v>
      </c>
      <c r="BV58" t="e">
        <f>AND(#REF!,"AAAAACvzn0k=")</f>
        <v>#REF!</v>
      </c>
      <c r="BW58" t="e">
        <f>AND(#REF!,"AAAAACvzn0o=")</f>
        <v>#REF!</v>
      </c>
      <c r="BX58" t="e">
        <f>AND(#REF!,"AAAAACvzn0s=")</f>
        <v>#REF!</v>
      </c>
      <c r="BY58" t="e">
        <f>AND(#REF!,"AAAAACvzn0w=")</f>
        <v>#REF!</v>
      </c>
      <c r="BZ58" t="e">
        <f>AND(#REF!,"AAAAACvzn00=")</f>
        <v>#REF!</v>
      </c>
      <c r="CA58" t="e">
        <f>AND(#REF!,"AAAAACvzn04=")</f>
        <v>#REF!</v>
      </c>
      <c r="CB58" t="e">
        <f>AND(#REF!,"AAAAACvzn08=")</f>
        <v>#REF!</v>
      </c>
      <c r="CC58" t="e">
        <f>AND(#REF!,"AAAAACvzn1A=")</f>
        <v>#REF!</v>
      </c>
      <c r="CD58" t="e">
        <f>AND(#REF!,"AAAAACvzn1E=")</f>
        <v>#REF!</v>
      </c>
      <c r="CE58" t="e">
        <f>AND(#REF!,"AAAAACvzn1I=")</f>
        <v>#REF!</v>
      </c>
      <c r="CF58" t="e">
        <f>AND(#REF!,"AAAAACvzn1M=")</f>
        <v>#REF!</v>
      </c>
      <c r="CG58" t="e">
        <f>AND(#REF!,"AAAAACvzn1Q=")</f>
        <v>#REF!</v>
      </c>
      <c r="CH58" t="e">
        <f>AND(#REF!,"AAAAACvzn1U=")</f>
        <v>#REF!</v>
      </c>
      <c r="CI58" t="e">
        <f>AND(#REF!,"AAAAACvzn1Y=")</f>
        <v>#REF!</v>
      </c>
      <c r="CJ58" t="e">
        <f>AND(#REF!,"AAAAACvzn1c=")</f>
        <v>#REF!</v>
      </c>
      <c r="CK58" t="e">
        <f>IF(#REF!,"AAAAACvzn1g=",0)</f>
        <v>#REF!</v>
      </c>
      <c r="CL58" t="e">
        <f>AND(#REF!,"AAAAACvzn1k=")</f>
        <v>#REF!</v>
      </c>
      <c r="CM58" t="e">
        <f>AND(#REF!,"AAAAACvzn1o=")</f>
        <v>#REF!</v>
      </c>
      <c r="CN58" t="e">
        <f>AND(#REF!,"AAAAACvzn1s=")</f>
        <v>#REF!</v>
      </c>
      <c r="CO58" t="e">
        <f>AND(#REF!,"AAAAACvzn1w=")</f>
        <v>#REF!</v>
      </c>
      <c r="CP58" t="e">
        <f>AND(#REF!,"AAAAACvzn10=")</f>
        <v>#REF!</v>
      </c>
      <c r="CQ58" t="e">
        <f>AND(#REF!,"AAAAACvzn14=")</f>
        <v>#REF!</v>
      </c>
      <c r="CR58" t="e">
        <f>AND(#REF!,"AAAAACvzn18=")</f>
        <v>#REF!</v>
      </c>
      <c r="CS58" t="e">
        <f>AND(#REF!,"AAAAACvzn2A=")</f>
        <v>#REF!</v>
      </c>
      <c r="CT58" t="e">
        <f>AND(#REF!,"AAAAACvzn2E=")</f>
        <v>#REF!</v>
      </c>
      <c r="CU58" t="e">
        <f>AND(#REF!,"AAAAACvzn2I=")</f>
        <v>#REF!</v>
      </c>
      <c r="CV58" t="e">
        <f>AND(#REF!,"AAAAACvzn2M=")</f>
        <v>#REF!</v>
      </c>
      <c r="CW58" t="e">
        <f>AND(#REF!,"AAAAACvzn2Q=")</f>
        <v>#REF!</v>
      </c>
      <c r="CX58" t="e">
        <f>AND(#REF!,"AAAAACvzn2U=")</f>
        <v>#REF!</v>
      </c>
      <c r="CY58" t="e">
        <f>AND(#REF!,"AAAAACvzn2Y=")</f>
        <v>#REF!</v>
      </c>
      <c r="CZ58" t="e">
        <f>AND(#REF!,"AAAAACvzn2c=")</f>
        <v>#REF!</v>
      </c>
      <c r="DA58" t="e">
        <f>AND(#REF!,"AAAAACvzn2g=")</f>
        <v>#REF!</v>
      </c>
      <c r="DB58" t="e">
        <f>AND(#REF!,"AAAAACvzn2k=")</f>
        <v>#REF!</v>
      </c>
      <c r="DC58" t="e">
        <f>AND(#REF!,"AAAAACvzn2o=")</f>
        <v>#REF!</v>
      </c>
      <c r="DD58" t="e">
        <f>AND(#REF!,"AAAAACvzn2s=")</f>
        <v>#REF!</v>
      </c>
      <c r="DE58" t="e">
        <f>AND(#REF!,"AAAAACvzn2w=")</f>
        <v>#REF!</v>
      </c>
      <c r="DF58" t="e">
        <f>AND(#REF!,"AAAAACvzn20=")</f>
        <v>#REF!</v>
      </c>
      <c r="DG58" t="e">
        <f>IF(#REF!,"AAAAACvzn24=",0)</f>
        <v>#REF!</v>
      </c>
      <c r="DH58" t="e">
        <f>AND(#REF!,"AAAAACvzn28=")</f>
        <v>#REF!</v>
      </c>
      <c r="DI58" t="e">
        <f>AND(#REF!,"AAAAACvzn3A=")</f>
        <v>#REF!</v>
      </c>
      <c r="DJ58" t="e">
        <f>AND(#REF!,"AAAAACvzn3E=")</f>
        <v>#REF!</v>
      </c>
      <c r="DK58" t="e">
        <f>AND(#REF!,"AAAAACvzn3I=")</f>
        <v>#REF!</v>
      </c>
      <c r="DL58" t="e">
        <f>AND(#REF!,"AAAAACvzn3M=")</f>
        <v>#REF!</v>
      </c>
      <c r="DM58" t="e">
        <f>AND(#REF!,"AAAAACvzn3Q=")</f>
        <v>#REF!</v>
      </c>
      <c r="DN58" t="e">
        <f>AND(#REF!,"AAAAACvzn3U=")</f>
        <v>#REF!</v>
      </c>
      <c r="DO58" t="e">
        <f>AND(#REF!,"AAAAACvzn3Y=")</f>
        <v>#REF!</v>
      </c>
      <c r="DP58" t="e">
        <f>AND(#REF!,"AAAAACvzn3c=")</f>
        <v>#REF!</v>
      </c>
      <c r="DQ58" t="e">
        <f>AND(#REF!,"AAAAACvzn3g=")</f>
        <v>#REF!</v>
      </c>
      <c r="DR58" t="e">
        <f>AND(#REF!,"AAAAACvzn3k=")</f>
        <v>#REF!</v>
      </c>
      <c r="DS58" t="e">
        <f>AND(#REF!,"AAAAACvzn3o=")</f>
        <v>#REF!</v>
      </c>
      <c r="DT58" t="e">
        <f>AND(#REF!,"AAAAACvzn3s=")</f>
        <v>#REF!</v>
      </c>
      <c r="DU58" t="e">
        <f>AND(#REF!,"AAAAACvzn3w=")</f>
        <v>#REF!</v>
      </c>
      <c r="DV58" t="e">
        <f>AND(#REF!,"AAAAACvzn30=")</f>
        <v>#REF!</v>
      </c>
      <c r="DW58" t="e">
        <f>AND(#REF!,"AAAAACvzn34=")</f>
        <v>#REF!</v>
      </c>
      <c r="DX58" t="e">
        <f>AND(#REF!,"AAAAACvzn38=")</f>
        <v>#REF!</v>
      </c>
      <c r="DY58" t="e">
        <f>AND(#REF!,"AAAAACvzn4A=")</f>
        <v>#REF!</v>
      </c>
      <c r="DZ58" t="e">
        <f>AND(#REF!,"AAAAACvzn4E=")</f>
        <v>#REF!</v>
      </c>
      <c r="EA58" t="e">
        <f>AND(#REF!,"AAAAACvzn4I=")</f>
        <v>#REF!</v>
      </c>
      <c r="EB58" t="e">
        <f>AND(#REF!,"AAAAACvzn4M=")</f>
        <v>#REF!</v>
      </c>
      <c r="EC58" t="e">
        <f>IF(#REF!,"AAAAACvzn4Q=",0)</f>
        <v>#REF!</v>
      </c>
      <c r="ED58" t="e">
        <f>AND(#REF!,"AAAAACvzn4U=")</f>
        <v>#REF!</v>
      </c>
      <c r="EE58" t="e">
        <f>AND(#REF!,"AAAAACvzn4Y=")</f>
        <v>#REF!</v>
      </c>
      <c r="EF58" t="e">
        <f>AND(#REF!,"AAAAACvzn4c=")</f>
        <v>#REF!</v>
      </c>
      <c r="EG58" t="e">
        <f>AND(#REF!,"AAAAACvzn4g=")</f>
        <v>#REF!</v>
      </c>
      <c r="EH58" t="e">
        <f>AND(#REF!,"AAAAACvzn4k=")</f>
        <v>#REF!</v>
      </c>
      <c r="EI58" t="e">
        <f>AND(#REF!,"AAAAACvzn4o=")</f>
        <v>#REF!</v>
      </c>
      <c r="EJ58" t="e">
        <f>AND(#REF!,"AAAAACvzn4s=")</f>
        <v>#REF!</v>
      </c>
      <c r="EK58" t="e">
        <f>AND(#REF!,"AAAAACvzn4w=")</f>
        <v>#REF!</v>
      </c>
      <c r="EL58" t="e">
        <f>AND(#REF!,"AAAAACvzn40=")</f>
        <v>#REF!</v>
      </c>
      <c r="EM58" t="e">
        <f>AND(#REF!,"AAAAACvzn44=")</f>
        <v>#REF!</v>
      </c>
      <c r="EN58" t="e">
        <f>AND(#REF!,"AAAAACvzn48=")</f>
        <v>#REF!</v>
      </c>
      <c r="EO58" t="e">
        <f>AND(#REF!,"AAAAACvzn5A=")</f>
        <v>#REF!</v>
      </c>
      <c r="EP58" t="e">
        <f>AND(#REF!,"AAAAACvzn5E=")</f>
        <v>#REF!</v>
      </c>
      <c r="EQ58" t="e">
        <f>AND(#REF!,"AAAAACvzn5I=")</f>
        <v>#REF!</v>
      </c>
      <c r="ER58" t="e">
        <f>AND(#REF!,"AAAAACvzn5M=")</f>
        <v>#REF!</v>
      </c>
      <c r="ES58" t="e">
        <f>AND(#REF!,"AAAAACvzn5Q=")</f>
        <v>#REF!</v>
      </c>
      <c r="ET58" t="e">
        <f>AND(#REF!,"AAAAACvzn5U=")</f>
        <v>#REF!</v>
      </c>
      <c r="EU58" t="e">
        <f>AND(#REF!,"AAAAACvzn5Y=")</f>
        <v>#REF!</v>
      </c>
      <c r="EV58" t="e">
        <f>AND(#REF!,"AAAAACvzn5c=")</f>
        <v>#REF!</v>
      </c>
      <c r="EW58" t="e">
        <f>AND(#REF!,"AAAAACvzn5g=")</f>
        <v>#REF!</v>
      </c>
      <c r="EX58" t="e">
        <f>AND(#REF!,"AAAAACvzn5k=")</f>
        <v>#REF!</v>
      </c>
      <c r="EY58" t="e">
        <f>IF(#REF!,"AAAAACvzn5o=",0)</f>
        <v>#REF!</v>
      </c>
      <c r="EZ58" t="e">
        <f>AND(#REF!,"AAAAACvzn5s=")</f>
        <v>#REF!</v>
      </c>
      <c r="FA58" t="e">
        <f>AND(#REF!,"AAAAACvzn5w=")</f>
        <v>#REF!</v>
      </c>
      <c r="FB58" t="e">
        <f>AND(#REF!,"AAAAACvzn50=")</f>
        <v>#REF!</v>
      </c>
      <c r="FC58" t="e">
        <f>AND(#REF!,"AAAAACvzn54=")</f>
        <v>#REF!</v>
      </c>
      <c r="FD58" t="e">
        <f>AND(#REF!,"AAAAACvzn58=")</f>
        <v>#REF!</v>
      </c>
      <c r="FE58" t="e">
        <f>AND(#REF!,"AAAAACvzn6A=")</f>
        <v>#REF!</v>
      </c>
      <c r="FF58" t="e">
        <f>AND(#REF!,"AAAAACvzn6E=")</f>
        <v>#REF!</v>
      </c>
      <c r="FG58" t="e">
        <f>AND(#REF!,"AAAAACvzn6I=")</f>
        <v>#REF!</v>
      </c>
      <c r="FH58" t="e">
        <f>AND(#REF!,"AAAAACvzn6M=")</f>
        <v>#REF!</v>
      </c>
      <c r="FI58" t="e">
        <f>AND(#REF!,"AAAAACvzn6Q=")</f>
        <v>#REF!</v>
      </c>
      <c r="FJ58" t="e">
        <f>AND(#REF!,"AAAAACvzn6U=")</f>
        <v>#REF!</v>
      </c>
      <c r="FK58" t="e">
        <f>AND(#REF!,"AAAAACvzn6Y=")</f>
        <v>#REF!</v>
      </c>
      <c r="FL58" t="e">
        <f>AND(#REF!,"AAAAACvzn6c=")</f>
        <v>#REF!</v>
      </c>
      <c r="FM58" t="e">
        <f>AND(#REF!,"AAAAACvzn6g=")</f>
        <v>#REF!</v>
      </c>
      <c r="FN58" t="e">
        <f>AND(#REF!,"AAAAACvzn6k=")</f>
        <v>#REF!</v>
      </c>
      <c r="FO58" t="e">
        <f>AND(#REF!,"AAAAACvzn6o=")</f>
        <v>#REF!</v>
      </c>
      <c r="FP58" t="e">
        <f>AND(#REF!,"AAAAACvzn6s=")</f>
        <v>#REF!</v>
      </c>
      <c r="FQ58" t="e">
        <f>AND(#REF!,"AAAAACvzn6w=")</f>
        <v>#REF!</v>
      </c>
      <c r="FR58" t="e">
        <f>AND(#REF!,"AAAAACvzn60=")</f>
        <v>#REF!</v>
      </c>
      <c r="FS58" t="e">
        <f>AND(#REF!,"AAAAACvzn64=")</f>
        <v>#REF!</v>
      </c>
      <c r="FT58" t="e">
        <f>AND(#REF!,"AAAAACvzn68=")</f>
        <v>#REF!</v>
      </c>
      <c r="FU58" t="e">
        <f>IF(#REF!,"AAAAACvzn7A=",0)</f>
        <v>#REF!</v>
      </c>
      <c r="FV58" t="e">
        <f>AND(#REF!,"AAAAACvzn7E=")</f>
        <v>#REF!</v>
      </c>
      <c r="FW58" t="e">
        <f>AND(#REF!,"AAAAACvzn7I=")</f>
        <v>#REF!</v>
      </c>
      <c r="FX58" t="e">
        <f>AND(#REF!,"AAAAACvzn7M=")</f>
        <v>#REF!</v>
      </c>
      <c r="FY58" t="e">
        <f>AND(#REF!,"AAAAACvzn7Q=")</f>
        <v>#REF!</v>
      </c>
      <c r="FZ58" t="e">
        <f>AND(#REF!,"AAAAACvzn7U=")</f>
        <v>#REF!</v>
      </c>
      <c r="GA58" t="e">
        <f>AND(#REF!,"AAAAACvzn7Y=")</f>
        <v>#REF!</v>
      </c>
      <c r="GB58" t="e">
        <f>AND(#REF!,"AAAAACvzn7c=")</f>
        <v>#REF!</v>
      </c>
      <c r="GC58" t="e">
        <f>AND(#REF!,"AAAAACvzn7g=")</f>
        <v>#REF!</v>
      </c>
      <c r="GD58" t="e">
        <f>AND(#REF!,"AAAAACvzn7k=")</f>
        <v>#REF!</v>
      </c>
      <c r="GE58" t="e">
        <f>AND(#REF!,"AAAAACvzn7o=")</f>
        <v>#REF!</v>
      </c>
      <c r="GF58" t="e">
        <f>AND(#REF!,"AAAAACvzn7s=")</f>
        <v>#REF!</v>
      </c>
      <c r="GG58" t="e">
        <f>AND(#REF!,"AAAAACvzn7w=")</f>
        <v>#REF!</v>
      </c>
      <c r="GH58" t="e">
        <f>AND(#REF!,"AAAAACvzn70=")</f>
        <v>#REF!</v>
      </c>
      <c r="GI58" t="e">
        <f>AND(#REF!,"AAAAACvzn74=")</f>
        <v>#REF!</v>
      </c>
      <c r="GJ58" t="e">
        <f>AND(#REF!,"AAAAACvzn78=")</f>
        <v>#REF!</v>
      </c>
      <c r="GK58" t="e">
        <f>AND(#REF!,"AAAAACvzn8A=")</f>
        <v>#REF!</v>
      </c>
      <c r="GL58" t="e">
        <f>AND(#REF!,"AAAAACvzn8E=")</f>
        <v>#REF!</v>
      </c>
      <c r="GM58" t="e">
        <f>AND(#REF!,"AAAAACvzn8I=")</f>
        <v>#REF!</v>
      </c>
      <c r="GN58" t="e">
        <f>AND(#REF!,"AAAAACvzn8M=")</f>
        <v>#REF!</v>
      </c>
      <c r="GO58" t="e">
        <f>AND(#REF!,"AAAAACvzn8Q=")</f>
        <v>#REF!</v>
      </c>
      <c r="GP58" t="e">
        <f>AND(#REF!,"AAAAACvzn8U=")</f>
        <v>#REF!</v>
      </c>
      <c r="GQ58" t="e">
        <f>IF(#REF!,"AAAAACvzn8Y=",0)</f>
        <v>#REF!</v>
      </c>
      <c r="GR58" t="e">
        <f>AND(#REF!,"AAAAACvzn8c=")</f>
        <v>#REF!</v>
      </c>
      <c r="GS58" t="e">
        <f>AND(#REF!,"AAAAACvzn8g=")</f>
        <v>#REF!</v>
      </c>
      <c r="GT58" t="e">
        <f>AND(#REF!,"AAAAACvzn8k=")</f>
        <v>#REF!</v>
      </c>
      <c r="GU58" t="e">
        <f>AND(#REF!,"AAAAACvzn8o=")</f>
        <v>#REF!</v>
      </c>
      <c r="GV58" t="e">
        <f>AND(#REF!,"AAAAACvzn8s=")</f>
        <v>#REF!</v>
      </c>
      <c r="GW58" t="e">
        <f>AND(#REF!,"AAAAACvzn8w=")</f>
        <v>#REF!</v>
      </c>
      <c r="GX58" t="e">
        <f>AND(#REF!,"AAAAACvzn80=")</f>
        <v>#REF!</v>
      </c>
      <c r="GY58" t="e">
        <f>AND(#REF!,"AAAAACvzn84=")</f>
        <v>#REF!</v>
      </c>
      <c r="GZ58" t="e">
        <f>AND(#REF!,"AAAAACvzn88=")</f>
        <v>#REF!</v>
      </c>
      <c r="HA58" t="e">
        <f>AND(#REF!,"AAAAACvzn9A=")</f>
        <v>#REF!</v>
      </c>
      <c r="HB58" t="e">
        <f>AND(#REF!,"AAAAACvzn9E=")</f>
        <v>#REF!</v>
      </c>
      <c r="HC58" t="e">
        <f>AND(#REF!,"AAAAACvzn9I=")</f>
        <v>#REF!</v>
      </c>
      <c r="HD58" t="e">
        <f>AND(#REF!,"AAAAACvzn9M=")</f>
        <v>#REF!</v>
      </c>
      <c r="HE58" t="e">
        <f>AND(#REF!,"AAAAACvzn9Q=")</f>
        <v>#REF!</v>
      </c>
      <c r="HF58" t="e">
        <f>AND(#REF!,"AAAAACvzn9U=")</f>
        <v>#REF!</v>
      </c>
      <c r="HG58" t="e">
        <f>AND(#REF!,"AAAAACvzn9Y=")</f>
        <v>#REF!</v>
      </c>
      <c r="HH58" t="e">
        <f>AND(#REF!,"AAAAACvzn9c=")</f>
        <v>#REF!</v>
      </c>
      <c r="HI58" t="e">
        <f>AND(#REF!,"AAAAACvzn9g=")</f>
        <v>#REF!</v>
      </c>
      <c r="HJ58" t="e">
        <f>AND(#REF!,"AAAAACvzn9k=")</f>
        <v>#REF!</v>
      </c>
      <c r="HK58" t="e">
        <f>AND(#REF!,"AAAAACvzn9o=")</f>
        <v>#REF!</v>
      </c>
      <c r="HL58" t="e">
        <f>AND(#REF!,"AAAAACvzn9s=")</f>
        <v>#REF!</v>
      </c>
      <c r="HM58" t="e">
        <f>IF(#REF!,"AAAAACvzn9w=",0)</f>
        <v>#REF!</v>
      </c>
      <c r="HN58" t="e">
        <f>AND(#REF!,"AAAAACvzn90=")</f>
        <v>#REF!</v>
      </c>
      <c r="HO58" t="e">
        <f>AND(#REF!,"AAAAACvzn94=")</f>
        <v>#REF!</v>
      </c>
      <c r="HP58" t="e">
        <f>AND(#REF!,"AAAAACvzn98=")</f>
        <v>#REF!</v>
      </c>
      <c r="HQ58" t="e">
        <f>AND(#REF!,"AAAAACvzn+A=")</f>
        <v>#REF!</v>
      </c>
      <c r="HR58" t="e">
        <f>AND(#REF!,"AAAAACvzn+E=")</f>
        <v>#REF!</v>
      </c>
      <c r="HS58" t="e">
        <f>AND(#REF!,"AAAAACvzn+I=")</f>
        <v>#REF!</v>
      </c>
      <c r="HT58" t="e">
        <f>AND(#REF!,"AAAAACvzn+M=")</f>
        <v>#REF!</v>
      </c>
      <c r="HU58" t="e">
        <f>AND(#REF!,"AAAAACvzn+Q=")</f>
        <v>#REF!</v>
      </c>
      <c r="HV58" t="e">
        <f>AND(#REF!,"AAAAACvzn+U=")</f>
        <v>#REF!</v>
      </c>
      <c r="HW58" t="e">
        <f>AND(#REF!,"AAAAACvzn+Y=")</f>
        <v>#REF!</v>
      </c>
      <c r="HX58" t="e">
        <f>AND(#REF!,"AAAAACvzn+c=")</f>
        <v>#REF!</v>
      </c>
      <c r="HY58" t="e">
        <f>AND(#REF!,"AAAAACvzn+g=")</f>
        <v>#REF!</v>
      </c>
      <c r="HZ58" t="e">
        <f>AND(#REF!,"AAAAACvzn+k=")</f>
        <v>#REF!</v>
      </c>
      <c r="IA58" t="e">
        <f>AND(#REF!,"AAAAACvzn+o=")</f>
        <v>#REF!</v>
      </c>
      <c r="IB58" t="e">
        <f>AND(#REF!,"AAAAACvzn+s=")</f>
        <v>#REF!</v>
      </c>
      <c r="IC58" t="e">
        <f>AND(#REF!,"AAAAACvzn+w=")</f>
        <v>#REF!</v>
      </c>
      <c r="ID58" t="e">
        <f>AND(#REF!,"AAAAACvzn+0=")</f>
        <v>#REF!</v>
      </c>
      <c r="IE58" t="e">
        <f>AND(#REF!,"AAAAACvzn+4=")</f>
        <v>#REF!</v>
      </c>
      <c r="IF58" t="e">
        <f>AND(#REF!,"AAAAACvzn+8=")</f>
        <v>#REF!</v>
      </c>
      <c r="IG58" t="e">
        <f>AND(#REF!,"AAAAACvzn/A=")</f>
        <v>#REF!</v>
      </c>
      <c r="IH58" t="e">
        <f>AND(#REF!,"AAAAACvzn/E=")</f>
        <v>#REF!</v>
      </c>
      <c r="II58" t="e">
        <f>IF(#REF!,"AAAAACvzn/I=",0)</f>
        <v>#REF!</v>
      </c>
      <c r="IJ58" t="e">
        <f>AND(#REF!,"AAAAACvzn/M=")</f>
        <v>#REF!</v>
      </c>
      <c r="IK58" t="e">
        <f>AND(#REF!,"AAAAACvzn/Q=")</f>
        <v>#REF!</v>
      </c>
      <c r="IL58" t="e">
        <f>AND(#REF!,"AAAAACvzn/U=")</f>
        <v>#REF!</v>
      </c>
      <c r="IM58" t="e">
        <f>AND(#REF!,"AAAAACvzn/Y=")</f>
        <v>#REF!</v>
      </c>
      <c r="IN58" t="e">
        <f>AND(#REF!,"AAAAACvzn/c=")</f>
        <v>#REF!</v>
      </c>
      <c r="IO58" t="e">
        <f>AND(#REF!,"AAAAACvzn/g=")</f>
        <v>#REF!</v>
      </c>
      <c r="IP58" t="e">
        <f>AND(#REF!,"AAAAACvzn/k=")</f>
        <v>#REF!</v>
      </c>
      <c r="IQ58" t="e">
        <f>AND(#REF!,"AAAAACvzn/o=")</f>
        <v>#REF!</v>
      </c>
      <c r="IR58" t="e">
        <f>AND(#REF!,"AAAAACvzn/s=")</f>
        <v>#REF!</v>
      </c>
      <c r="IS58" t="e">
        <f>AND(#REF!,"AAAAACvzn/w=")</f>
        <v>#REF!</v>
      </c>
      <c r="IT58" t="e">
        <f>AND(#REF!,"AAAAACvzn/0=")</f>
        <v>#REF!</v>
      </c>
      <c r="IU58" t="e">
        <f>AND(#REF!,"AAAAACvzn/4=")</f>
        <v>#REF!</v>
      </c>
      <c r="IV58" t="e">
        <f>AND(#REF!,"AAAAACvzn/8=")</f>
        <v>#REF!</v>
      </c>
    </row>
    <row r="59" spans="1:256" ht="15" customHeight="1" x14ac:dyDescent="0.2">
      <c r="A59" t="e">
        <f>AND(#REF!,"AAAAAH759wA=")</f>
        <v>#REF!</v>
      </c>
      <c r="B59" t="e">
        <f>AND(#REF!,"AAAAAH759wE=")</f>
        <v>#REF!</v>
      </c>
      <c r="C59" t="e">
        <f>AND(#REF!,"AAAAAH759wI=")</f>
        <v>#REF!</v>
      </c>
      <c r="D59" t="e">
        <f>AND(#REF!,"AAAAAH759wM=")</f>
        <v>#REF!</v>
      </c>
      <c r="E59" t="e">
        <f>AND(#REF!,"AAAAAH759wQ=")</f>
        <v>#REF!</v>
      </c>
      <c r="F59" t="e">
        <f>AND(#REF!,"AAAAAH759wU=")</f>
        <v>#REF!</v>
      </c>
      <c r="G59" t="e">
        <f>AND(#REF!,"AAAAAH759wY=")</f>
        <v>#REF!</v>
      </c>
      <c r="H59" t="e">
        <f>AND(#REF!,"AAAAAH759wc=")</f>
        <v>#REF!</v>
      </c>
      <c r="I59" t="e">
        <f>AND(#REF!,"AAAAAH759wg=")</f>
        <v>#REF!</v>
      </c>
      <c r="J59" t="e">
        <f>AND(#REF!,"AAAAAH759wk=")</f>
        <v>#REF!</v>
      </c>
      <c r="K59" t="e">
        <f>AND(#REF!,"AAAAAH759wo=")</f>
        <v>#REF!</v>
      </c>
      <c r="L59" t="e">
        <f>AND(#REF!,"AAAAAH759ws=")</f>
        <v>#REF!</v>
      </c>
      <c r="M59" t="e">
        <f>AND(#REF!,"AAAAAH759ww=")</f>
        <v>#REF!</v>
      </c>
      <c r="N59" t="e">
        <f>AND(#REF!,"AAAAAH759w0=")</f>
        <v>#REF!</v>
      </c>
      <c r="O59" t="e">
        <f>AND(#REF!,"AAAAAH759w4=")</f>
        <v>#REF!</v>
      </c>
      <c r="P59" t="e">
        <f>AND(#REF!,"AAAAAH759w8=")</f>
        <v>#REF!</v>
      </c>
      <c r="Q59" t="e">
        <f>AND(#REF!,"AAAAAH759xA=")</f>
        <v>#REF!</v>
      </c>
      <c r="R59" t="e">
        <f>AND(#REF!,"AAAAAH759xE=")</f>
        <v>#REF!</v>
      </c>
      <c r="S59" t="e">
        <f>AND(#REF!,"AAAAAH759xI=")</f>
        <v>#REF!</v>
      </c>
      <c r="T59" t="e">
        <f>AND(#REF!,"AAAAAH759xM=")</f>
        <v>#REF!</v>
      </c>
      <c r="U59" t="e">
        <f>AND(#REF!,"AAAAAH759xQ=")</f>
        <v>#REF!</v>
      </c>
      <c r="V59" t="e">
        <f>AND(#REF!,"AAAAAH759xU=")</f>
        <v>#REF!</v>
      </c>
      <c r="W59" t="e">
        <f>AND(#REF!,"AAAAAH759xY=")</f>
        <v>#REF!</v>
      </c>
      <c r="X59" t="e">
        <f>AND(#REF!,"AAAAAH759xc=")</f>
        <v>#REF!</v>
      </c>
      <c r="Y59" t="e">
        <f>AND(#REF!,"AAAAAH759xg=")</f>
        <v>#REF!</v>
      </c>
      <c r="Z59" t="e">
        <f>AND(#REF!,"AAAAAH759xk=")</f>
        <v>#REF!</v>
      </c>
      <c r="AA59" t="e">
        <f>AND(#REF!,"AAAAAH759xo=")</f>
        <v>#REF!</v>
      </c>
      <c r="AB59" t="e">
        <f>AND(#REF!,"AAAAAH759xs=")</f>
        <v>#REF!</v>
      </c>
      <c r="AC59" t="e">
        <f>AND(#REF!,"AAAAAH759xw=")</f>
        <v>#REF!</v>
      </c>
      <c r="AD59" t="e">
        <f>AND(#REF!,"AAAAAH759x0=")</f>
        <v>#REF!</v>
      </c>
      <c r="AE59" t="e">
        <f>AND(#REF!,"AAAAAH759x4=")</f>
        <v>#REF!</v>
      </c>
      <c r="AF59" t="e">
        <f>AND(#REF!,"AAAAAH759x8=")</f>
        <v>#REF!</v>
      </c>
      <c r="AG59" t="e">
        <f>AND(#REF!,"AAAAAH759yA=")</f>
        <v>#REF!</v>
      </c>
      <c r="AH59" t="e">
        <f>AND(#REF!,"AAAAAH759yE=")</f>
        <v>#REF!</v>
      </c>
      <c r="AI59" t="e">
        <f>AND(#REF!,"AAAAAH759yI=")</f>
        <v>#REF!</v>
      </c>
      <c r="AJ59" t="e">
        <f>AND(#REF!,"AAAAAH759yM=")</f>
        <v>#REF!</v>
      </c>
      <c r="AK59" t="e">
        <f>AND(#REF!,"AAAAAH759yQ=")</f>
        <v>#REF!</v>
      </c>
      <c r="AL59" t="e">
        <f>AND(#REF!,"AAAAAH759yU=")</f>
        <v>#REF!</v>
      </c>
      <c r="AM59" t="e">
        <f>AND(#REF!,"AAAAAH759yY=")</f>
        <v>#REF!</v>
      </c>
      <c r="AN59" t="e">
        <f>AND(#REF!,"AAAAAH759yc=")</f>
        <v>#REF!</v>
      </c>
      <c r="AO59" t="e">
        <f>AND(#REF!,"AAAAAH759yg=")</f>
        <v>#REF!</v>
      </c>
      <c r="AP59" t="e">
        <f>AND(#REF!,"AAAAAH759yk=")</f>
        <v>#REF!</v>
      </c>
      <c r="AQ59" t="e">
        <f>AND(#REF!,"AAAAAH759yo=")</f>
        <v>#REF!</v>
      </c>
      <c r="AR59" t="e">
        <f>AND(#REF!,"AAAAAH759ys=")</f>
        <v>#REF!</v>
      </c>
      <c r="AS59" t="e">
        <f>AND(#REF!,"AAAAAH759yw=")</f>
        <v>#REF!</v>
      </c>
      <c r="AT59" t="e">
        <f>AND(#REF!,"AAAAAH759y0=")</f>
        <v>#REF!</v>
      </c>
      <c r="AU59" t="e">
        <f>AND(#REF!,"AAAAAH759y4=")</f>
        <v>#REF!</v>
      </c>
      <c r="AV59" t="e">
        <f>AND(#REF!,"AAAAAH759y8=")</f>
        <v>#REF!</v>
      </c>
      <c r="AW59" t="e">
        <f>AND(#REF!,"AAAAAH759zA=")</f>
        <v>#REF!</v>
      </c>
      <c r="AX59" t="e">
        <f>AND(#REF!,"AAAAAH759zE=")</f>
        <v>#REF!</v>
      </c>
      <c r="AY59" t="e">
        <f>AND(#REF!,"AAAAAH759zI=")</f>
        <v>#REF!</v>
      </c>
      <c r="AZ59" t="e">
        <f>AND(#REF!,"AAAAAH759zM=")</f>
        <v>#REF!</v>
      </c>
      <c r="BA59" t="e">
        <f>AND(#REF!,"AAAAAH759zQ=")</f>
        <v>#REF!</v>
      </c>
      <c r="BB59" t="e">
        <f>AND(#REF!,"AAAAAH759zU=")</f>
        <v>#REF!</v>
      </c>
      <c r="BC59" t="e">
        <f>AND(#REF!,"AAAAAH759zY=")</f>
        <v>#REF!</v>
      </c>
      <c r="BD59" t="e">
        <f>AND(#REF!,"AAAAAH759zc=")</f>
        <v>#REF!</v>
      </c>
      <c r="BE59" t="e">
        <f>AND(#REF!,"AAAAAH759zg=")</f>
        <v>#REF!</v>
      </c>
      <c r="BF59" t="e">
        <f>AND(#REF!,"AAAAAH759zk=")</f>
        <v>#REF!</v>
      </c>
      <c r="BG59" t="e">
        <f>AND(#REF!,"AAAAAH759zo=")</f>
        <v>#REF!</v>
      </c>
      <c r="BH59" t="e">
        <f>AND(#REF!,"AAAAAH759zs=")</f>
        <v>#REF!</v>
      </c>
      <c r="BI59" t="e">
        <f>AND(#REF!,"AAAAAH759zw=")</f>
        <v>#REF!</v>
      </c>
      <c r="BJ59" t="e">
        <f>AND(#REF!,"AAAAAH759z0=")</f>
        <v>#REF!</v>
      </c>
      <c r="BK59" t="e">
        <f>AND(#REF!,"AAAAAH759z4=")</f>
        <v>#REF!</v>
      </c>
      <c r="BL59" t="e">
        <f>AND(#REF!,"AAAAAH759z8=")</f>
        <v>#REF!</v>
      </c>
      <c r="BM59" t="e">
        <f>AND(#REF!,"AAAAAH7590A=")</f>
        <v>#REF!</v>
      </c>
      <c r="BN59" t="e">
        <f>AND(#REF!,"AAAAAH7590E=")</f>
        <v>#REF!</v>
      </c>
      <c r="BO59" t="e">
        <f>AND(#REF!,"AAAAAH7590I=")</f>
        <v>#REF!</v>
      </c>
      <c r="BP59" t="e">
        <f>AND(#REF!,"AAAAAH7590M=")</f>
        <v>#REF!</v>
      </c>
      <c r="BQ59" t="e">
        <f>AND(#REF!,"AAAAAH7590Q=")</f>
        <v>#REF!</v>
      </c>
      <c r="BR59" t="e">
        <f>AND(#REF!,"AAAAAH7590U=")</f>
        <v>#REF!</v>
      </c>
      <c r="BS59" t="e">
        <f>AND(#REF!,"AAAAAH7590Y=")</f>
        <v>#REF!</v>
      </c>
      <c r="BT59" t="e">
        <f>IF(#REF!,"AAAAAH7590c=",0)</f>
        <v>#REF!</v>
      </c>
      <c r="BU59" t="e">
        <f>AND(#REF!,"AAAAAH7590g=")</f>
        <v>#REF!</v>
      </c>
      <c r="BV59" t="e">
        <f>AND(#REF!,"AAAAAH7590k=")</f>
        <v>#REF!</v>
      </c>
      <c r="BW59" t="e">
        <f>AND(#REF!,"AAAAAH7590o=")</f>
        <v>#REF!</v>
      </c>
      <c r="BX59" t="e">
        <f>AND(#REF!,"AAAAAH7590s=")</f>
        <v>#REF!</v>
      </c>
      <c r="BY59" t="e">
        <f>AND(#REF!,"AAAAAH7590w=")</f>
        <v>#REF!</v>
      </c>
      <c r="BZ59" t="e">
        <f>AND(#REF!,"AAAAAH75900=")</f>
        <v>#REF!</v>
      </c>
      <c r="CA59" t="e">
        <f>AND(#REF!,"AAAAAH75904=")</f>
        <v>#REF!</v>
      </c>
      <c r="CB59" t="e">
        <f>AND(#REF!,"AAAAAH75908=")</f>
        <v>#REF!</v>
      </c>
      <c r="CC59" t="e">
        <f>AND(#REF!,"AAAAAH7591A=")</f>
        <v>#REF!</v>
      </c>
      <c r="CD59" t="e">
        <f>AND(#REF!,"AAAAAH7591E=")</f>
        <v>#REF!</v>
      </c>
      <c r="CE59" t="e">
        <f>AND(#REF!,"AAAAAH7591I=")</f>
        <v>#REF!</v>
      </c>
      <c r="CF59" t="e">
        <f>AND(#REF!,"AAAAAH7591M=")</f>
        <v>#REF!</v>
      </c>
      <c r="CG59" t="e">
        <f>AND(#REF!,"AAAAAH7591Q=")</f>
        <v>#REF!</v>
      </c>
      <c r="CH59" t="e">
        <f>AND(#REF!,"AAAAAH7591U=")</f>
        <v>#REF!</v>
      </c>
      <c r="CI59" t="e">
        <f>AND(#REF!,"AAAAAH7591Y=")</f>
        <v>#REF!</v>
      </c>
      <c r="CJ59" t="e">
        <f>AND(#REF!,"AAAAAH7591c=")</f>
        <v>#REF!</v>
      </c>
      <c r="CK59" t="e">
        <f>AND(#REF!,"AAAAAH7591g=")</f>
        <v>#REF!</v>
      </c>
      <c r="CL59" t="e">
        <f>AND(#REF!,"AAAAAH7591k=")</f>
        <v>#REF!</v>
      </c>
      <c r="CM59" t="e">
        <f>AND(#REF!,"AAAAAH7591o=")</f>
        <v>#REF!</v>
      </c>
      <c r="CN59" t="e">
        <f>AND(#REF!,"AAAAAH7591s=")</f>
        <v>#REF!</v>
      </c>
      <c r="CO59" t="e">
        <f>AND(#REF!,"AAAAAH7591w=")</f>
        <v>#REF!</v>
      </c>
      <c r="CP59" t="e">
        <f>IF(#REF!,"AAAAAH75910=",0)</f>
        <v>#REF!</v>
      </c>
      <c r="CQ59" t="e">
        <f>AND(#REF!,"AAAAAH75914=")</f>
        <v>#REF!</v>
      </c>
      <c r="CR59" t="e">
        <f>AND(#REF!,"AAAAAH75918=")</f>
        <v>#REF!</v>
      </c>
      <c r="CS59" t="e">
        <f>AND(#REF!,"AAAAAH7592A=")</f>
        <v>#REF!</v>
      </c>
      <c r="CT59" t="e">
        <f>AND(#REF!,"AAAAAH7592E=")</f>
        <v>#REF!</v>
      </c>
      <c r="CU59" t="e">
        <f>AND(#REF!,"AAAAAH7592I=")</f>
        <v>#REF!</v>
      </c>
      <c r="CV59" t="e">
        <f>AND(#REF!,"AAAAAH7592M=")</f>
        <v>#REF!</v>
      </c>
      <c r="CW59" t="e">
        <f>AND(#REF!,"AAAAAH7592Q=")</f>
        <v>#REF!</v>
      </c>
      <c r="CX59" t="e">
        <f>AND(#REF!,"AAAAAH7592U=")</f>
        <v>#REF!</v>
      </c>
      <c r="CY59" t="e">
        <f>AND(#REF!,"AAAAAH7592Y=")</f>
        <v>#REF!</v>
      </c>
      <c r="CZ59" t="e">
        <f>AND(#REF!,"AAAAAH7592c=")</f>
        <v>#REF!</v>
      </c>
      <c r="DA59" t="e">
        <f>AND(#REF!,"AAAAAH7592g=")</f>
        <v>#REF!</v>
      </c>
      <c r="DB59" t="e">
        <f>AND(#REF!,"AAAAAH7592k=")</f>
        <v>#REF!</v>
      </c>
      <c r="DC59" t="e">
        <f>AND(#REF!,"AAAAAH7592o=")</f>
        <v>#REF!</v>
      </c>
      <c r="DD59" t="e">
        <f>AND(#REF!,"AAAAAH7592s=")</f>
        <v>#REF!</v>
      </c>
      <c r="DE59" t="e">
        <f>AND(#REF!,"AAAAAH7592w=")</f>
        <v>#REF!</v>
      </c>
      <c r="DF59" t="e">
        <f>AND(#REF!,"AAAAAH75920=")</f>
        <v>#REF!</v>
      </c>
      <c r="DG59" t="e">
        <f>AND(#REF!,"AAAAAH75924=")</f>
        <v>#REF!</v>
      </c>
      <c r="DH59" t="e">
        <f>AND(#REF!,"AAAAAH75928=")</f>
        <v>#REF!</v>
      </c>
      <c r="DI59" t="e">
        <f>AND(#REF!,"AAAAAH7593A=")</f>
        <v>#REF!</v>
      </c>
      <c r="DJ59" t="e">
        <f>AND(#REF!,"AAAAAH7593E=")</f>
        <v>#REF!</v>
      </c>
      <c r="DK59" t="e">
        <f>AND(#REF!,"AAAAAH7593I=")</f>
        <v>#REF!</v>
      </c>
      <c r="DL59" t="e">
        <f>IF(#REF!,"AAAAAH7593M=",0)</f>
        <v>#REF!</v>
      </c>
      <c r="DM59" t="e">
        <f>AND(#REF!,"AAAAAH7593Q=")</f>
        <v>#REF!</v>
      </c>
      <c r="DN59" t="e">
        <f>AND(#REF!,"AAAAAH7593U=")</f>
        <v>#REF!</v>
      </c>
      <c r="DO59" t="e">
        <f>AND(#REF!,"AAAAAH7593Y=")</f>
        <v>#REF!</v>
      </c>
      <c r="DP59" t="e">
        <f>AND(#REF!,"AAAAAH7593c=")</f>
        <v>#REF!</v>
      </c>
      <c r="DQ59" t="e">
        <f>AND(#REF!,"AAAAAH7593g=")</f>
        <v>#REF!</v>
      </c>
      <c r="DR59" t="e">
        <f>AND(#REF!,"AAAAAH7593k=")</f>
        <v>#REF!</v>
      </c>
      <c r="DS59" t="e">
        <f>AND(#REF!,"AAAAAH7593o=")</f>
        <v>#REF!</v>
      </c>
      <c r="DT59" t="e">
        <f>AND(#REF!,"AAAAAH7593s=")</f>
        <v>#REF!</v>
      </c>
      <c r="DU59" t="e">
        <f>AND(#REF!,"AAAAAH7593w=")</f>
        <v>#REF!</v>
      </c>
      <c r="DV59" t="e">
        <f>AND(#REF!,"AAAAAH75930=")</f>
        <v>#REF!</v>
      </c>
      <c r="DW59" t="e">
        <f>AND(#REF!,"AAAAAH75934=")</f>
        <v>#REF!</v>
      </c>
      <c r="DX59" t="e">
        <f>AND(#REF!,"AAAAAH75938=")</f>
        <v>#REF!</v>
      </c>
      <c r="DY59" t="e">
        <f>AND(#REF!,"AAAAAH7594A=")</f>
        <v>#REF!</v>
      </c>
      <c r="DZ59" t="e">
        <f>AND(#REF!,"AAAAAH7594E=")</f>
        <v>#REF!</v>
      </c>
      <c r="EA59" t="e">
        <f>AND(#REF!,"AAAAAH7594I=")</f>
        <v>#REF!</v>
      </c>
      <c r="EB59" t="e">
        <f>AND(#REF!,"AAAAAH7594M=")</f>
        <v>#REF!</v>
      </c>
      <c r="EC59" t="e">
        <f>AND(#REF!,"AAAAAH7594Q=")</f>
        <v>#REF!</v>
      </c>
      <c r="ED59" t="e">
        <f>AND(#REF!,"AAAAAH7594U=")</f>
        <v>#REF!</v>
      </c>
      <c r="EE59" t="e">
        <f>AND(#REF!,"AAAAAH7594Y=")</f>
        <v>#REF!</v>
      </c>
      <c r="EF59" t="e">
        <f>AND(#REF!,"AAAAAH7594c=")</f>
        <v>#REF!</v>
      </c>
      <c r="EG59" t="e">
        <f>AND(#REF!,"AAAAAH7594g=")</f>
        <v>#REF!</v>
      </c>
      <c r="EH59" t="e">
        <f>AND(#REF!,"AAAAAH7594k=")</f>
        <v>#REF!</v>
      </c>
      <c r="EI59" t="e">
        <f>AND(#REF!,"AAAAAH7594o=")</f>
        <v>#REF!</v>
      </c>
      <c r="EJ59" t="e">
        <f>AND(#REF!,"AAAAAH7594s=")</f>
        <v>#REF!</v>
      </c>
      <c r="EK59" t="e">
        <f>AND(#REF!,"AAAAAH7594w=")</f>
        <v>#REF!</v>
      </c>
      <c r="EL59" t="e">
        <f>AND(#REF!,"AAAAAH75940=")</f>
        <v>#REF!</v>
      </c>
      <c r="EM59" t="e">
        <f>AND(#REF!,"AAAAAH75944=")</f>
        <v>#REF!</v>
      </c>
      <c r="EN59" t="e">
        <f>AND(#REF!,"AAAAAH75948=")</f>
        <v>#REF!</v>
      </c>
      <c r="EO59" t="e">
        <f>AND(#REF!,"AAAAAH7595A=")</f>
        <v>#REF!</v>
      </c>
      <c r="EP59" t="e">
        <f>AND(#REF!,"AAAAAH7595E=")</f>
        <v>#REF!</v>
      </c>
      <c r="EQ59" t="e">
        <f>AND(#REF!,"AAAAAH7595I=")</f>
        <v>#REF!</v>
      </c>
      <c r="ER59" t="e">
        <f>AND(#REF!,"AAAAAH7595M=")</f>
        <v>#REF!</v>
      </c>
      <c r="ES59" t="e">
        <f>AND(#REF!,"AAAAAH7595Q=")</f>
        <v>#REF!</v>
      </c>
      <c r="ET59" t="e">
        <f>AND(#REF!,"AAAAAH7595U=")</f>
        <v>#REF!</v>
      </c>
      <c r="EU59" t="e">
        <f>AND(#REF!,"AAAAAH7595Y=")</f>
        <v>#REF!</v>
      </c>
      <c r="EV59" t="e">
        <f>AND(#REF!,"AAAAAH7595c=")</f>
        <v>#REF!</v>
      </c>
      <c r="EW59" t="e">
        <f>AND(#REF!,"AAAAAH7595g=")</f>
        <v>#REF!</v>
      </c>
      <c r="EX59" t="e">
        <f>AND(#REF!,"AAAAAH7595k=")</f>
        <v>#REF!</v>
      </c>
      <c r="EY59" t="e">
        <f>AND(#REF!,"AAAAAH7595o=")</f>
        <v>#REF!</v>
      </c>
      <c r="EZ59" t="e">
        <f>AND(#REF!,"AAAAAH7595s=")</f>
        <v>#REF!</v>
      </c>
      <c r="FA59" t="e">
        <f>AND(#REF!,"AAAAAH7595w=")</f>
        <v>#REF!</v>
      </c>
      <c r="FB59" t="e">
        <f>AND(#REF!,"AAAAAH75950=")</f>
        <v>#REF!</v>
      </c>
    </row>
  </sheetData>
  <pageMargins left="0.75" right="0.75" top="1" bottom="1" header="0.5" footer="0.5"/>
  <pageSetup paperSize="9" orientation="portrait" horizontalDpi="300" verticalDpi="300"/>
  <headerFooter alignWithMargins="0"/>
  <customProperties>
    <customPr name="DVSECTION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zoomScaleNormal="100" workbookViewId="0">
      <selection activeCell="Y23" sqref="Y23"/>
    </sheetView>
  </sheetViews>
  <sheetFormatPr defaultColWidth="9.140625" defaultRowHeight="15" customHeight="1" x14ac:dyDescent="0.2"/>
  <cols>
    <col min="1" max="1" width="21.140625" customWidth="1"/>
    <col min="2" max="2" width="10.140625" customWidth="1"/>
    <col min="3" max="3" width="8.28515625" customWidth="1"/>
    <col min="4" max="4" width="7.28515625" customWidth="1"/>
    <col min="5" max="5" width="1" customWidth="1"/>
    <col min="6" max="7" width="7.28515625" customWidth="1"/>
    <col min="8" max="8" width="1.140625" customWidth="1"/>
    <col min="9" max="10" width="7.28515625" customWidth="1"/>
    <col min="11" max="11" width="1.28515625" customWidth="1"/>
    <col min="12" max="13" width="7.28515625" customWidth="1"/>
    <col min="14" max="14" width="1" customWidth="1"/>
    <col min="15" max="16" width="7.28515625" customWidth="1"/>
    <col min="17" max="17" width="1.28515625" customWidth="1"/>
    <col min="18" max="18" width="7.28515625" style="16" customWidth="1"/>
    <col min="19" max="19" width="7.28515625" customWidth="1"/>
    <col min="20" max="20" width="8.7109375" bestFit="1" customWidth="1"/>
  </cols>
  <sheetData>
    <row r="1" spans="1:20" ht="34.5" x14ac:dyDescent="0.45">
      <c r="B1" s="2" t="s">
        <v>19</v>
      </c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  <c r="T1" s="1"/>
    </row>
    <row r="2" spans="1:20" ht="15" customHeight="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3"/>
      <c r="T2" s="3"/>
    </row>
    <row r="3" spans="1:20" ht="15" customHeight="1" x14ac:dyDescent="0.25">
      <c r="A3" s="10"/>
      <c r="B3" s="3"/>
      <c r="C3" s="20" t="s">
        <v>7</v>
      </c>
      <c r="D3" s="20"/>
      <c r="E3" s="20"/>
      <c r="F3" s="20" t="s">
        <v>18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8"/>
      <c r="T3" s="18"/>
    </row>
    <row r="4" spans="1:20" ht="15" customHeight="1" x14ac:dyDescent="0.2">
      <c r="A4" s="10"/>
      <c r="B4" s="3"/>
      <c r="C4" s="26">
        <v>42686</v>
      </c>
      <c r="D4" s="3"/>
      <c r="E4" s="3"/>
      <c r="F4" s="26">
        <v>42700</v>
      </c>
      <c r="G4" s="3"/>
      <c r="H4" s="3"/>
      <c r="I4" s="26"/>
      <c r="J4" s="3"/>
      <c r="K4" s="3"/>
      <c r="L4" s="26"/>
      <c r="M4" s="3"/>
      <c r="N4" s="3"/>
      <c r="O4" s="26"/>
      <c r="P4" s="3"/>
      <c r="Q4" s="3"/>
      <c r="R4" s="18"/>
      <c r="S4" s="18"/>
      <c r="T4" s="18"/>
    </row>
    <row r="5" spans="1:20" ht="15" customHeight="1" x14ac:dyDescent="0.2">
      <c r="A5" s="10"/>
      <c r="B5" s="3" t="s">
        <v>4</v>
      </c>
      <c r="C5" s="3" t="s">
        <v>0</v>
      </c>
      <c r="D5" s="3" t="s">
        <v>5</v>
      </c>
      <c r="E5" s="3"/>
      <c r="F5" s="3" t="s">
        <v>0</v>
      </c>
      <c r="G5" s="3" t="s">
        <v>5</v>
      </c>
      <c r="H5" s="3"/>
      <c r="I5" s="3" t="s">
        <v>0</v>
      </c>
      <c r="J5" s="3" t="s">
        <v>5</v>
      </c>
      <c r="K5" s="3"/>
      <c r="L5" s="3" t="s">
        <v>0</v>
      </c>
      <c r="M5" s="3" t="s">
        <v>5</v>
      </c>
      <c r="N5" s="3"/>
      <c r="O5" s="3" t="s">
        <v>0</v>
      </c>
      <c r="P5" s="3" t="s">
        <v>5</v>
      </c>
      <c r="Q5" s="3"/>
      <c r="R5" s="18" t="s">
        <v>0</v>
      </c>
      <c r="S5" s="18" t="s">
        <v>5</v>
      </c>
      <c r="T5" s="18" t="s">
        <v>1</v>
      </c>
    </row>
    <row r="6" spans="1:20" ht="15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</row>
    <row r="7" spans="1:20" ht="23.25" x14ac:dyDescent="0.35">
      <c r="A7" s="4" t="s">
        <v>16</v>
      </c>
      <c r="B7" s="4"/>
      <c r="C7" s="3"/>
      <c r="D7" s="3"/>
      <c r="E7" s="5"/>
      <c r="F7" s="3"/>
      <c r="G7" s="3"/>
      <c r="H7" s="5"/>
      <c r="I7" s="3"/>
      <c r="J7" s="3"/>
      <c r="K7" s="5"/>
      <c r="L7" s="3"/>
      <c r="M7" s="3"/>
      <c r="N7" s="5"/>
      <c r="O7" s="3"/>
      <c r="P7" s="3"/>
      <c r="Q7" s="5"/>
      <c r="R7" s="18"/>
      <c r="S7" s="18"/>
      <c r="T7" s="18"/>
    </row>
    <row r="8" spans="1:20" ht="15" customHeight="1" x14ac:dyDescent="0.2">
      <c r="A8" s="71" t="s">
        <v>90</v>
      </c>
      <c r="B8" s="71" t="s">
        <v>27</v>
      </c>
      <c r="C8" s="72">
        <v>2.6967592592592595E-2</v>
      </c>
      <c r="D8" s="54">
        <v>100</v>
      </c>
      <c r="E8" s="54"/>
      <c r="F8" s="55"/>
      <c r="G8" s="54"/>
      <c r="H8" s="54"/>
      <c r="I8" s="54"/>
      <c r="J8" s="54"/>
      <c r="K8" s="23"/>
      <c r="L8" s="54"/>
      <c r="M8" s="54"/>
      <c r="N8" s="23"/>
      <c r="O8" s="54"/>
      <c r="P8" s="54"/>
      <c r="Q8" s="23"/>
      <c r="R8" s="51"/>
      <c r="S8" s="51"/>
      <c r="T8" s="34">
        <f t="shared" ref="T8:T23" si="0">((((D8+G8)+J8)+M8)+P8)+S8</f>
        <v>100</v>
      </c>
    </row>
    <row r="9" spans="1:20" ht="15" customHeight="1" x14ac:dyDescent="0.2">
      <c r="A9" s="71" t="s">
        <v>91</v>
      </c>
      <c r="B9" s="71" t="s">
        <v>27</v>
      </c>
      <c r="C9" s="72">
        <v>3.2974537037037038E-2</v>
      </c>
      <c r="D9" s="23">
        <v>91</v>
      </c>
      <c r="E9" s="23"/>
      <c r="F9" s="55"/>
      <c r="G9" s="53"/>
      <c r="H9" s="23"/>
      <c r="I9" s="54"/>
      <c r="J9" s="54"/>
      <c r="K9" s="23"/>
      <c r="L9" s="54"/>
      <c r="M9" s="54"/>
      <c r="N9" s="23"/>
      <c r="O9" s="54"/>
      <c r="P9" s="54"/>
      <c r="Q9" s="23"/>
      <c r="R9" s="51"/>
      <c r="S9" s="51"/>
      <c r="T9" s="34">
        <f t="shared" si="0"/>
        <v>91</v>
      </c>
    </row>
    <row r="10" spans="1:20" ht="15" customHeight="1" x14ac:dyDescent="0.2">
      <c r="A10" s="71" t="s">
        <v>92</v>
      </c>
      <c r="B10" s="71" t="s">
        <v>28</v>
      </c>
      <c r="C10" s="72">
        <v>3.6932870370370366E-2</v>
      </c>
      <c r="D10" s="70">
        <v>85</v>
      </c>
      <c r="E10" s="23"/>
      <c r="F10" s="25"/>
      <c r="G10" s="23"/>
      <c r="H10" s="23"/>
      <c r="I10" s="54"/>
      <c r="J10" s="54"/>
      <c r="K10" s="23"/>
      <c r="L10" s="54"/>
      <c r="M10" s="54"/>
      <c r="N10" s="23"/>
      <c r="O10" s="54"/>
      <c r="P10" s="54"/>
      <c r="Q10" s="23"/>
      <c r="R10" s="51"/>
      <c r="S10" s="51"/>
      <c r="T10" s="34">
        <f t="shared" si="0"/>
        <v>85</v>
      </c>
    </row>
    <row r="11" spans="1:20" ht="15" customHeight="1" x14ac:dyDescent="0.2">
      <c r="A11" s="71" t="s">
        <v>93</v>
      </c>
      <c r="B11" s="71" t="s">
        <v>29</v>
      </c>
      <c r="C11" s="72">
        <v>3.9837962962962964E-2</v>
      </c>
      <c r="D11" s="23">
        <v>81</v>
      </c>
      <c r="E11" s="23"/>
      <c r="F11" s="55"/>
      <c r="G11" s="54"/>
      <c r="H11" s="23"/>
      <c r="I11" s="54"/>
      <c r="J11" s="54"/>
      <c r="K11" s="23"/>
      <c r="L11" s="54"/>
      <c r="M11" s="54"/>
      <c r="N11" s="23"/>
      <c r="O11" s="54"/>
      <c r="P11" s="54"/>
      <c r="Q11" s="23"/>
      <c r="R11" s="51"/>
      <c r="S11" s="51"/>
      <c r="T11" s="34">
        <f t="shared" si="0"/>
        <v>81</v>
      </c>
    </row>
    <row r="12" spans="1:20" ht="15" customHeight="1" x14ac:dyDescent="0.2">
      <c r="A12" s="71" t="s">
        <v>94</v>
      </c>
      <c r="B12" s="71" t="s">
        <v>59</v>
      </c>
      <c r="C12" s="72">
        <v>4.0729166666666664E-2</v>
      </c>
      <c r="D12" s="3">
        <v>80</v>
      </c>
      <c r="E12" s="5"/>
      <c r="F12" s="30"/>
      <c r="G12" s="32"/>
      <c r="H12" s="5"/>
      <c r="I12" s="7"/>
      <c r="J12" s="7"/>
      <c r="K12" s="5"/>
      <c r="L12" s="7"/>
      <c r="M12" s="7"/>
      <c r="N12" s="5"/>
      <c r="O12" s="7"/>
      <c r="P12" s="7"/>
      <c r="Q12" s="5"/>
      <c r="R12" s="18"/>
      <c r="S12" s="18"/>
      <c r="T12" s="34">
        <f t="shared" si="0"/>
        <v>80</v>
      </c>
    </row>
    <row r="13" spans="1:20" ht="15" customHeight="1" x14ac:dyDescent="0.2">
      <c r="A13" s="71" t="s">
        <v>106</v>
      </c>
      <c r="B13" s="71" t="s">
        <v>28</v>
      </c>
      <c r="C13" s="71" t="s">
        <v>36</v>
      </c>
      <c r="D13" s="7"/>
      <c r="E13" s="41"/>
      <c r="F13" s="29"/>
      <c r="G13" s="7"/>
      <c r="H13" s="41"/>
      <c r="I13" s="7"/>
      <c r="J13" s="7"/>
      <c r="K13" s="5"/>
      <c r="L13" s="3"/>
      <c r="M13" s="3"/>
      <c r="N13" s="5"/>
      <c r="O13" s="7"/>
      <c r="P13" s="3"/>
      <c r="Q13" s="5"/>
      <c r="R13" s="18"/>
      <c r="S13" s="18"/>
      <c r="T13" s="34">
        <f t="shared" si="0"/>
        <v>0</v>
      </c>
    </row>
    <row r="14" spans="1:20" ht="15" customHeight="1" x14ac:dyDescent="0.2">
      <c r="A14" s="71" t="s">
        <v>95</v>
      </c>
      <c r="B14" s="71" t="s">
        <v>59</v>
      </c>
      <c r="C14" s="71" t="s">
        <v>36</v>
      </c>
      <c r="D14" s="7"/>
      <c r="E14" s="41"/>
      <c r="F14" s="29"/>
      <c r="G14" s="7"/>
      <c r="H14" s="41"/>
      <c r="I14" s="7"/>
      <c r="J14" s="7"/>
      <c r="K14" s="5"/>
      <c r="L14" s="7"/>
      <c r="M14" s="7"/>
      <c r="N14" s="5"/>
      <c r="O14" s="7"/>
      <c r="P14" s="7"/>
      <c r="Q14" s="5"/>
      <c r="R14" s="18"/>
      <c r="S14" s="18"/>
      <c r="T14" s="34">
        <f t="shared" si="0"/>
        <v>0</v>
      </c>
    </row>
    <row r="15" spans="1:20" ht="15" customHeight="1" x14ac:dyDescent="0.2">
      <c r="A15" s="71" t="s">
        <v>96</v>
      </c>
      <c r="B15" s="71" t="s">
        <v>27</v>
      </c>
      <c r="C15" s="71" t="s">
        <v>36</v>
      </c>
      <c r="D15" s="7"/>
      <c r="E15" s="41"/>
      <c r="F15" s="29"/>
      <c r="G15" s="7"/>
      <c r="H15" s="41"/>
      <c r="I15" s="7"/>
      <c r="J15" s="7"/>
      <c r="K15" s="5"/>
      <c r="L15" s="7"/>
      <c r="M15" s="7"/>
      <c r="N15" s="5"/>
      <c r="O15" s="7"/>
      <c r="P15" s="7"/>
      <c r="Q15" s="5"/>
      <c r="R15" s="18"/>
      <c r="S15" s="18"/>
      <c r="T15" s="34">
        <f t="shared" si="0"/>
        <v>0</v>
      </c>
    </row>
    <row r="16" spans="1:20" ht="15" customHeight="1" x14ac:dyDescent="0.2">
      <c r="A16" s="71" t="s">
        <v>97</v>
      </c>
      <c r="B16" s="71" t="s">
        <v>59</v>
      </c>
      <c r="C16" s="71" t="s">
        <v>36</v>
      </c>
      <c r="D16" s="7"/>
      <c r="E16" s="41"/>
      <c r="F16" s="29"/>
      <c r="G16" s="7"/>
      <c r="H16" s="41"/>
      <c r="I16" s="7"/>
      <c r="J16" s="7"/>
      <c r="K16" s="5"/>
      <c r="L16" s="7"/>
      <c r="M16" s="7"/>
      <c r="N16" s="5"/>
      <c r="O16" s="7"/>
      <c r="P16" s="7"/>
      <c r="Q16" s="5"/>
      <c r="R16" s="18"/>
      <c r="S16" s="18"/>
      <c r="T16" s="34">
        <f t="shared" si="0"/>
        <v>0</v>
      </c>
    </row>
    <row r="17" spans="1:20" ht="15" customHeight="1" x14ac:dyDescent="0.2">
      <c r="A17" s="31"/>
      <c r="B17" s="22"/>
      <c r="C17" s="24"/>
      <c r="D17" s="32"/>
      <c r="E17" s="5"/>
      <c r="F17" s="9"/>
      <c r="G17" s="3"/>
      <c r="H17" s="5"/>
      <c r="I17" s="7"/>
      <c r="J17" s="7"/>
      <c r="K17" s="5"/>
      <c r="L17" s="7"/>
      <c r="M17" s="7"/>
      <c r="N17" s="5"/>
      <c r="O17" s="7"/>
      <c r="P17" s="7"/>
      <c r="Q17" s="5"/>
      <c r="R17" s="18"/>
      <c r="S17" s="18"/>
      <c r="T17" s="34">
        <f t="shared" si="0"/>
        <v>0</v>
      </c>
    </row>
    <row r="18" spans="1:20" ht="15" customHeight="1" x14ac:dyDescent="0.2">
      <c r="A18" s="31"/>
      <c r="B18" s="7"/>
      <c r="C18" s="3"/>
      <c r="D18" s="3"/>
      <c r="E18" s="5"/>
      <c r="F18" s="28"/>
      <c r="G18" s="32"/>
      <c r="H18" s="5"/>
      <c r="I18" s="7"/>
      <c r="J18" s="7"/>
      <c r="K18" s="5"/>
      <c r="L18" s="7"/>
      <c r="M18" s="7"/>
      <c r="N18" s="5"/>
      <c r="O18" s="7"/>
      <c r="P18" s="7"/>
      <c r="Q18" s="5"/>
      <c r="R18" s="18"/>
      <c r="S18" s="18"/>
      <c r="T18" s="34">
        <f t="shared" si="0"/>
        <v>0</v>
      </c>
    </row>
    <row r="19" spans="1:20" ht="15" customHeight="1" x14ac:dyDescent="0.2">
      <c r="A19" s="31"/>
      <c r="B19" s="22"/>
      <c r="C19" s="24"/>
      <c r="D19" s="32"/>
      <c r="E19" s="5"/>
      <c r="F19" s="9"/>
      <c r="G19" s="3"/>
      <c r="H19" s="5"/>
      <c r="I19" s="7"/>
      <c r="J19" s="7"/>
      <c r="K19" s="5"/>
      <c r="L19" s="7"/>
      <c r="M19" s="7"/>
      <c r="N19" s="5"/>
      <c r="O19" s="7"/>
      <c r="P19" s="7"/>
      <c r="Q19" s="5"/>
      <c r="R19" s="18"/>
      <c r="S19" s="18"/>
      <c r="T19" s="34">
        <f t="shared" si="0"/>
        <v>0</v>
      </c>
    </row>
    <row r="20" spans="1:20" ht="15" customHeight="1" x14ac:dyDescent="0.2">
      <c r="A20" s="31"/>
      <c r="B20" s="22"/>
      <c r="C20" s="24"/>
      <c r="D20" s="32"/>
      <c r="E20" s="5"/>
      <c r="F20" s="9"/>
      <c r="G20" s="3"/>
      <c r="H20" s="5"/>
      <c r="I20" s="7"/>
      <c r="J20" s="7"/>
      <c r="K20" s="5"/>
      <c r="L20" s="7"/>
      <c r="M20" s="7"/>
      <c r="N20" s="5"/>
      <c r="O20" s="7"/>
      <c r="P20" s="7"/>
      <c r="Q20" s="5"/>
      <c r="R20" s="18"/>
      <c r="S20" s="18"/>
      <c r="T20" s="34"/>
    </row>
    <row r="21" spans="1:20" ht="15" customHeight="1" x14ac:dyDescent="0.2">
      <c r="A21" s="31"/>
      <c r="B21" s="22"/>
      <c r="C21" s="24"/>
      <c r="D21" s="32"/>
      <c r="E21" s="5"/>
      <c r="F21" s="9"/>
      <c r="G21" s="3"/>
      <c r="H21" s="5"/>
      <c r="I21" s="7"/>
      <c r="J21" s="7"/>
      <c r="K21" s="5"/>
      <c r="L21" s="7"/>
      <c r="M21" s="7"/>
      <c r="N21" s="5"/>
      <c r="O21" s="7"/>
      <c r="P21" s="7"/>
      <c r="Q21" s="5"/>
      <c r="R21" s="18"/>
      <c r="S21" s="18"/>
      <c r="T21" s="34"/>
    </row>
    <row r="22" spans="1:20" ht="15" customHeight="1" x14ac:dyDescent="0.2">
      <c r="A22" s="31"/>
      <c r="B22" s="22"/>
      <c r="C22" s="24"/>
      <c r="D22" s="32"/>
      <c r="E22" s="5"/>
      <c r="F22" s="9"/>
      <c r="G22" s="3"/>
      <c r="H22" s="5"/>
      <c r="I22" s="7"/>
      <c r="J22" s="7"/>
      <c r="K22" s="5"/>
      <c r="L22" s="7"/>
      <c r="M22" s="7"/>
      <c r="N22" s="5"/>
      <c r="O22" s="7"/>
      <c r="P22" s="7"/>
      <c r="Q22" s="5"/>
      <c r="R22" s="48"/>
      <c r="S22" s="18"/>
      <c r="T22" s="34"/>
    </row>
    <row r="23" spans="1:20" ht="15" customHeight="1" x14ac:dyDescent="0.2">
      <c r="A23" s="31"/>
      <c r="B23" s="22"/>
      <c r="C23" s="24"/>
      <c r="D23" s="32"/>
      <c r="E23" s="5"/>
      <c r="F23" s="9"/>
      <c r="G23" s="3"/>
      <c r="H23" s="5"/>
      <c r="I23" s="7"/>
      <c r="J23" s="7"/>
      <c r="K23" s="5"/>
      <c r="L23" s="7"/>
      <c r="M23" s="7"/>
      <c r="N23" s="5"/>
      <c r="O23" s="7"/>
      <c r="P23" s="7"/>
      <c r="Q23" s="5"/>
      <c r="R23" s="18"/>
      <c r="S23" s="18"/>
      <c r="T23" s="34">
        <f t="shared" si="0"/>
        <v>0</v>
      </c>
    </row>
    <row r="24" spans="1:20" ht="15" customHeight="1" x14ac:dyDescent="0.2">
      <c r="A24" s="7"/>
      <c r="B24" s="7"/>
      <c r="C24" s="7"/>
      <c r="D24" s="7"/>
      <c r="E24" s="41"/>
      <c r="F24" s="29"/>
      <c r="G24" s="7"/>
      <c r="H24" s="41"/>
      <c r="I24" s="7"/>
      <c r="J24" s="7"/>
      <c r="K24" s="5"/>
      <c r="L24" s="3"/>
      <c r="M24" s="3"/>
      <c r="N24" s="5"/>
      <c r="O24" s="3"/>
      <c r="P24" s="3"/>
      <c r="Q24" s="5"/>
      <c r="R24" s="18"/>
      <c r="S24" s="18"/>
      <c r="T24" s="34"/>
    </row>
    <row r="25" spans="1:20" ht="15" customHeight="1" x14ac:dyDescent="0.2">
      <c r="A25" s="7"/>
      <c r="B25" s="7"/>
      <c r="C25" s="7"/>
      <c r="D25" s="7"/>
      <c r="E25" s="41"/>
      <c r="F25" s="29"/>
      <c r="G25" s="7"/>
      <c r="H25" s="41"/>
      <c r="I25" s="7"/>
      <c r="J25" s="7"/>
      <c r="K25" s="5"/>
      <c r="L25" s="3"/>
      <c r="M25" s="3"/>
      <c r="N25" s="5"/>
      <c r="O25" s="3"/>
      <c r="P25" s="3"/>
      <c r="Q25" s="5"/>
      <c r="R25" s="18"/>
      <c r="S25" s="18"/>
      <c r="T25" s="34"/>
    </row>
    <row r="26" spans="1:20" ht="15" customHeight="1" x14ac:dyDescent="0.2">
      <c r="A26" s="7"/>
      <c r="B26" s="7"/>
      <c r="C26" s="7"/>
      <c r="D26" s="7"/>
      <c r="E26" s="41"/>
      <c r="F26" s="29"/>
      <c r="G26" s="7"/>
      <c r="H26" s="41"/>
      <c r="I26" s="28"/>
      <c r="J26" s="7"/>
      <c r="K26" s="5"/>
      <c r="L26" s="3"/>
      <c r="M26" s="3"/>
      <c r="N26" s="5"/>
      <c r="O26" s="3"/>
      <c r="P26" s="3"/>
      <c r="Q26" s="5"/>
      <c r="R26" s="18"/>
      <c r="S26" s="18"/>
      <c r="T26" s="34"/>
    </row>
    <row r="27" spans="1:20" ht="15" customHeight="1" x14ac:dyDescent="0.2">
      <c r="A27" s="7"/>
      <c r="B27" s="7"/>
      <c r="C27" s="7"/>
      <c r="D27" s="7"/>
      <c r="E27" s="41"/>
      <c r="F27" s="29"/>
      <c r="G27" s="7"/>
      <c r="H27" s="41"/>
      <c r="I27" s="7"/>
      <c r="J27" s="7"/>
      <c r="K27" s="5"/>
      <c r="L27" s="3"/>
      <c r="M27" s="3"/>
      <c r="N27" s="5"/>
      <c r="O27" s="3"/>
      <c r="P27" s="3"/>
      <c r="Q27" s="5"/>
      <c r="R27" s="18"/>
      <c r="S27" s="18"/>
      <c r="T27" s="34"/>
    </row>
    <row r="28" spans="1:20" ht="23.25" x14ac:dyDescent="0.35">
      <c r="A28" s="4" t="s">
        <v>17</v>
      </c>
      <c r="B28" s="3"/>
      <c r="C28" s="3"/>
      <c r="D28" s="3"/>
      <c r="E28" s="5"/>
      <c r="F28" s="9"/>
      <c r="G28" s="3"/>
      <c r="H28" s="5"/>
      <c r="I28" s="3"/>
      <c r="J28" s="3"/>
      <c r="K28" s="5"/>
      <c r="L28" s="3"/>
      <c r="M28" s="3"/>
      <c r="N28" s="5"/>
      <c r="O28" s="3"/>
      <c r="P28" s="3"/>
      <c r="Q28" s="5"/>
      <c r="R28" s="18"/>
      <c r="S28" s="18"/>
      <c r="T28" s="39"/>
    </row>
    <row r="29" spans="1:20" ht="15" customHeight="1" x14ac:dyDescent="0.2">
      <c r="A29" s="71" t="s">
        <v>98</v>
      </c>
      <c r="B29" s="71" t="s">
        <v>27</v>
      </c>
      <c r="C29" s="72">
        <v>1.8506944444444444E-2</v>
      </c>
      <c r="D29" s="23">
        <v>100</v>
      </c>
      <c r="E29" s="23"/>
      <c r="F29" s="27"/>
      <c r="G29" s="53"/>
      <c r="H29" s="23"/>
      <c r="I29" s="54"/>
      <c r="J29" s="54"/>
      <c r="K29" s="23"/>
      <c r="L29" s="54"/>
      <c r="M29" s="54"/>
      <c r="N29" s="23"/>
      <c r="O29" s="54"/>
      <c r="P29" s="54"/>
      <c r="Q29" s="5"/>
      <c r="R29" s="18"/>
      <c r="S29" s="18"/>
      <c r="T29" s="36">
        <v>100</v>
      </c>
    </row>
    <row r="30" spans="1:20" ht="15" customHeight="1" x14ac:dyDescent="0.2">
      <c r="A30" s="71" t="s">
        <v>99</v>
      </c>
      <c r="B30" s="71" t="s">
        <v>27</v>
      </c>
      <c r="C30" s="72">
        <v>1.9953703703703706E-2</v>
      </c>
      <c r="D30" s="55">
        <v>97</v>
      </c>
      <c r="E30" s="23"/>
      <c r="F30" s="55"/>
      <c r="G30" s="54"/>
      <c r="H30" s="23"/>
      <c r="I30" s="23"/>
      <c r="J30" s="23"/>
      <c r="K30" s="23"/>
      <c r="L30" s="54"/>
      <c r="M30" s="54"/>
      <c r="N30" s="23"/>
      <c r="O30" s="23"/>
      <c r="P30" s="23"/>
      <c r="Q30" s="5"/>
      <c r="R30" s="18"/>
      <c r="S30" s="18"/>
      <c r="T30" s="34">
        <f>((((D30+G30)+J30)+M30)+P30)+S30</f>
        <v>97</v>
      </c>
    </row>
    <row r="31" spans="1:20" ht="15" customHeight="1" x14ac:dyDescent="0.2">
      <c r="A31" s="71" t="s">
        <v>100</v>
      </c>
      <c r="B31" s="71" t="s">
        <v>26</v>
      </c>
      <c r="C31" s="72">
        <v>3.0752314814814816E-2</v>
      </c>
      <c r="D31" s="23">
        <v>82</v>
      </c>
      <c r="E31" s="23"/>
      <c r="F31" s="55"/>
      <c r="G31" s="57"/>
      <c r="H31" s="23"/>
      <c r="I31" s="54"/>
      <c r="J31" s="54"/>
      <c r="K31" s="23"/>
      <c r="L31" s="54"/>
      <c r="M31" s="54"/>
      <c r="N31" s="23"/>
      <c r="O31" s="23"/>
      <c r="P31" s="23"/>
      <c r="Q31" s="5"/>
      <c r="R31" s="18"/>
      <c r="S31" s="18"/>
      <c r="T31" s="36">
        <v>82</v>
      </c>
    </row>
    <row r="32" spans="1:20" ht="15" customHeight="1" x14ac:dyDescent="0.2">
      <c r="A32" s="71" t="s">
        <v>101</v>
      </c>
      <c r="B32" s="71" t="s">
        <v>27</v>
      </c>
      <c r="C32" s="72">
        <v>3.7928240740740742E-2</v>
      </c>
      <c r="D32" s="23">
        <v>72</v>
      </c>
      <c r="E32" s="23"/>
      <c r="F32" s="55"/>
      <c r="G32" s="69"/>
      <c r="H32" s="23"/>
      <c r="I32" s="54"/>
      <c r="J32" s="23"/>
      <c r="K32" s="23"/>
      <c r="L32" s="54"/>
      <c r="M32" s="54"/>
      <c r="N32" s="23"/>
      <c r="O32" s="23"/>
      <c r="P32" s="23"/>
      <c r="Q32" s="5"/>
      <c r="R32" s="18"/>
      <c r="S32" s="18"/>
      <c r="T32" s="36">
        <v>72</v>
      </c>
    </row>
    <row r="33" spans="1:20" ht="15" customHeight="1" x14ac:dyDescent="0.2">
      <c r="A33" s="71" t="s">
        <v>102</v>
      </c>
      <c r="B33" s="71" t="s">
        <v>59</v>
      </c>
      <c r="C33" s="72">
        <v>4.0694444444444443E-2</v>
      </c>
      <c r="D33" s="3">
        <v>68</v>
      </c>
      <c r="E33" s="5"/>
      <c r="F33" s="30"/>
      <c r="G33" s="32"/>
      <c r="H33" s="5"/>
      <c r="I33" s="7"/>
      <c r="J33" s="7"/>
      <c r="K33" s="5"/>
      <c r="L33" s="7"/>
      <c r="M33" s="7"/>
      <c r="N33" s="5"/>
      <c r="O33" s="3"/>
      <c r="P33" s="3"/>
      <c r="Q33" s="5"/>
      <c r="R33" s="18"/>
      <c r="S33" s="18"/>
      <c r="T33" s="36">
        <v>68</v>
      </c>
    </row>
    <row r="34" spans="1:20" ht="15" customHeight="1" x14ac:dyDescent="0.2">
      <c r="A34" s="71" t="s">
        <v>103</v>
      </c>
      <c r="B34" s="71" t="s">
        <v>26</v>
      </c>
      <c r="C34" s="72">
        <v>4.5104166666666667E-2</v>
      </c>
      <c r="D34" s="7">
        <v>61</v>
      </c>
      <c r="E34" s="41"/>
      <c r="F34" s="29"/>
      <c r="G34" s="7"/>
      <c r="H34" s="41"/>
      <c r="I34" s="7"/>
      <c r="J34" s="7"/>
      <c r="K34" s="5"/>
      <c r="L34" s="7"/>
      <c r="M34" s="7"/>
      <c r="N34" s="5"/>
      <c r="O34" s="3"/>
      <c r="P34" s="3"/>
      <c r="Q34" s="5"/>
      <c r="R34" s="18"/>
      <c r="S34" s="18"/>
      <c r="T34" s="36">
        <v>61</v>
      </c>
    </row>
    <row r="35" spans="1:20" ht="15" customHeight="1" x14ac:dyDescent="0.2">
      <c r="A35" s="71" t="s">
        <v>104</v>
      </c>
      <c r="B35" s="71" t="s">
        <v>59</v>
      </c>
      <c r="C35" s="72">
        <v>4.6712962962962963E-2</v>
      </c>
      <c r="D35" s="29">
        <v>59</v>
      </c>
      <c r="E35" s="5"/>
      <c r="F35" s="29"/>
      <c r="G35" s="7"/>
      <c r="H35" s="5"/>
      <c r="I35" s="7"/>
      <c r="J35" s="7"/>
      <c r="K35" s="5"/>
      <c r="L35" s="7"/>
      <c r="M35" s="7"/>
      <c r="N35" s="5"/>
      <c r="O35" s="3"/>
      <c r="P35" s="3"/>
      <c r="Q35" s="5"/>
      <c r="R35" s="18"/>
      <c r="S35" s="18"/>
      <c r="T35" s="34">
        <f>((((D35+G35)+J35)+M35)+P35)+S35</f>
        <v>59</v>
      </c>
    </row>
    <row r="36" spans="1:20" ht="15" customHeight="1" x14ac:dyDescent="0.2">
      <c r="A36" s="31"/>
      <c r="B36" s="7"/>
      <c r="C36" s="3"/>
      <c r="D36" s="3"/>
      <c r="E36" s="5"/>
      <c r="F36" s="30"/>
      <c r="G36" s="32"/>
      <c r="H36" s="5"/>
      <c r="I36" s="7"/>
      <c r="J36" s="7"/>
      <c r="K36" s="5"/>
      <c r="L36" s="7"/>
      <c r="M36" s="7"/>
      <c r="N36" s="5"/>
      <c r="O36" s="3"/>
      <c r="P36" s="3"/>
      <c r="Q36" s="5"/>
      <c r="R36" s="18"/>
      <c r="S36" s="18"/>
      <c r="T36" s="36">
        <f>((((G36)+J36)+M36)+P36)+S36</f>
        <v>0</v>
      </c>
    </row>
    <row r="37" spans="1:20" ht="15" customHeight="1" x14ac:dyDescent="0.2">
      <c r="A37" s="31"/>
      <c r="B37" s="22"/>
      <c r="C37" s="33"/>
      <c r="D37" s="29"/>
      <c r="E37" s="5"/>
      <c r="F37" s="29"/>
      <c r="G37" s="7"/>
      <c r="H37" s="5"/>
      <c r="I37" s="7"/>
      <c r="J37" s="7"/>
      <c r="K37" s="5"/>
      <c r="L37" s="7"/>
      <c r="M37" s="7"/>
      <c r="N37" s="5"/>
      <c r="O37" s="3"/>
      <c r="P37" s="3"/>
      <c r="Q37" s="5"/>
      <c r="R37" s="18"/>
      <c r="S37" s="18"/>
      <c r="T37" s="34">
        <f>((((D37+G37)+J37)+M37)+P37)+S37</f>
        <v>0</v>
      </c>
    </row>
    <row r="38" spans="1:20" ht="15" customHeight="1" x14ac:dyDescent="0.2">
      <c r="A38" s="31"/>
      <c r="B38" s="7"/>
      <c r="C38" s="3"/>
      <c r="D38" s="3"/>
      <c r="E38" s="5"/>
      <c r="F38" s="30"/>
      <c r="G38" s="32"/>
      <c r="H38" s="5"/>
      <c r="I38" s="7"/>
      <c r="J38" s="7"/>
      <c r="K38" s="5"/>
      <c r="L38" s="7"/>
      <c r="M38" s="7"/>
      <c r="N38" s="5"/>
      <c r="O38" s="3"/>
      <c r="P38" s="3"/>
      <c r="Q38" s="5"/>
      <c r="R38" s="18"/>
      <c r="S38" s="18"/>
      <c r="T38" s="36">
        <f>((((G38)+J38)+M38)+P38)+S38</f>
        <v>0</v>
      </c>
    </row>
    <row r="39" spans="1:20" ht="15" customHeight="1" x14ac:dyDescent="0.2">
      <c r="A39" s="31"/>
      <c r="B39" s="7"/>
      <c r="C39" s="3"/>
      <c r="D39" s="3"/>
      <c r="E39" s="5"/>
      <c r="F39" s="30"/>
      <c r="G39" s="32"/>
      <c r="H39" s="5"/>
      <c r="I39" s="7"/>
      <c r="J39" s="7"/>
      <c r="K39" s="5"/>
      <c r="L39" s="7"/>
      <c r="M39" s="7"/>
      <c r="N39" s="5"/>
      <c r="O39" s="3"/>
      <c r="P39" s="3"/>
      <c r="Q39" s="5"/>
      <c r="R39" s="18"/>
      <c r="S39" s="18"/>
      <c r="T39" s="36">
        <f>((((G39)+J39)+M39)+P39)+S39</f>
        <v>0</v>
      </c>
    </row>
    <row r="40" spans="1:20" ht="15" customHeight="1" x14ac:dyDescent="0.2">
      <c r="A40" s="31"/>
      <c r="B40" s="7"/>
      <c r="C40" s="3"/>
      <c r="D40" s="3"/>
      <c r="E40" s="5"/>
      <c r="F40" s="30"/>
      <c r="G40" s="32"/>
      <c r="H40" s="5"/>
      <c r="I40" s="7"/>
      <c r="J40" s="7"/>
      <c r="K40" s="5"/>
      <c r="L40" s="7"/>
      <c r="M40" s="7"/>
      <c r="N40" s="5"/>
      <c r="O40" s="3"/>
      <c r="P40" s="3"/>
      <c r="Q40" s="5"/>
      <c r="R40" s="18"/>
      <c r="S40" s="18"/>
      <c r="T40" s="36">
        <f>((((G40)+J40)+M40)+P40)+S40</f>
        <v>0</v>
      </c>
    </row>
    <row r="41" spans="1:20" ht="15" customHeight="1" x14ac:dyDescent="0.2">
      <c r="A41" s="31"/>
      <c r="B41" s="7"/>
      <c r="C41" s="3"/>
      <c r="D41" s="3"/>
      <c r="E41" s="5"/>
      <c r="F41" s="30"/>
      <c r="G41" s="32"/>
      <c r="H41" s="5"/>
      <c r="I41" s="7"/>
      <c r="J41" s="7"/>
      <c r="K41" s="5"/>
      <c r="L41" s="7"/>
      <c r="M41" s="7"/>
      <c r="N41" s="5"/>
      <c r="O41" s="3"/>
      <c r="P41" s="3"/>
      <c r="Q41" s="5"/>
      <c r="R41" s="18"/>
      <c r="S41" s="18"/>
      <c r="T41" s="36"/>
    </row>
    <row r="42" spans="1:20" ht="15" customHeight="1" x14ac:dyDescent="0.2">
      <c r="A42" s="31"/>
      <c r="B42" s="7"/>
      <c r="C42" s="3"/>
      <c r="D42" s="3"/>
      <c r="E42" s="5"/>
      <c r="F42" s="30"/>
      <c r="G42" s="32"/>
      <c r="H42" s="5"/>
      <c r="I42" s="7"/>
      <c r="J42" s="7"/>
      <c r="K42" s="5"/>
      <c r="L42" s="7"/>
      <c r="M42" s="7"/>
      <c r="N42" s="5"/>
      <c r="O42" s="3"/>
      <c r="P42" s="3"/>
      <c r="Q42" s="5"/>
      <c r="R42" s="18"/>
      <c r="S42" s="18"/>
      <c r="T42" s="36"/>
    </row>
    <row r="43" spans="1:20" ht="15" customHeight="1" x14ac:dyDescent="0.2">
      <c r="A43" s="31"/>
      <c r="B43" s="7"/>
      <c r="C43" s="3"/>
      <c r="D43" s="3"/>
      <c r="E43" s="5"/>
      <c r="F43" s="30"/>
      <c r="G43" s="32"/>
      <c r="H43" s="5"/>
      <c r="I43" s="7"/>
      <c r="J43" s="7"/>
      <c r="K43" s="5"/>
      <c r="L43" s="7"/>
      <c r="M43" s="7"/>
      <c r="N43" s="5"/>
      <c r="O43" s="7"/>
      <c r="P43" s="3"/>
      <c r="Q43" s="5"/>
      <c r="R43" s="18"/>
      <c r="S43" s="18"/>
      <c r="T43" s="36">
        <f>((((G43)+J43)+M43)+P43)+S43</f>
        <v>0</v>
      </c>
    </row>
    <row r="44" spans="1:20" ht="15" customHeight="1" x14ac:dyDescent="0.2">
      <c r="A44" s="31"/>
      <c r="B44" s="7"/>
      <c r="C44" s="3"/>
      <c r="D44" s="3"/>
      <c r="E44" s="5"/>
      <c r="F44" s="30"/>
      <c r="G44" s="32"/>
      <c r="H44" s="5"/>
      <c r="I44" s="7"/>
      <c r="J44" s="7"/>
      <c r="K44" s="5"/>
      <c r="L44" s="7"/>
      <c r="M44" s="7"/>
      <c r="N44" s="5"/>
      <c r="O44" s="7"/>
      <c r="P44" s="3"/>
      <c r="Q44" s="5"/>
      <c r="R44" s="18"/>
      <c r="S44" s="18"/>
      <c r="T44" s="36"/>
    </row>
    <row r="45" spans="1:20" ht="15" customHeight="1" x14ac:dyDescent="0.2">
      <c r="A45" s="7"/>
      <c r="B45" s="7"/>
      <c r="C45" s="7"/>
      <c r="D45" s="7"/>
      <c r="E45" s="41"/>
      <c r="F45" s="29"/>
      <c r="G45" s="7"/>
      <c r="H45" s="41"/>
      <c r="I45" s="7"/>
      <c r="J45" s="7"/>
      <c r="K45" s="5"/>
      <c r="L45" s="7"/>
      <c r="M45" s="7"/>
      <c r="N45" s="5"/>
      <c r="O45" s="3"/>
      <c r="P45" s="3"/>
      <c r="Q45" s="5"/>
      <c r="R45" s="18"/>
      <c r="S45" s="18"/>
      <c r="T45" s="34"/>
    </row>
    <row r="46" spans="1:20" ht="15" customHeight="1" x14ac:dyDescent="0.2">
      <c r="A46" s="7"/>
      <c r="B46" s="7"/>
      <c r="C46" s="7"/>
      <c r="D46" s="7"/>
      <c r="E46" s="41"/>
      <c r="F46" s="29"/>
      <c r="G46" s="7"/>
      <c r="H46" s="41"/>
      <c r="I46" s="7"/>
      <c r="J46" s="7"/>
      <c r="K46" s="5"/>
      <c r="L46" s="7"/>
      <c r="M46" s="7"/>
      <c r="N46" s="5"/>
      <c r="O46" s="3"/>
      <c r="P46" s="3"/>
      <c r="Q46" s="5"/>
      <c r="R46" s="18"/>
      <c r="S46" s="18"/>
      <c r="T46" s="34"/>
    </row>
    <row r="47" spans="1:20" ht="15" customHeight="1" x14ac:dyDescent="0.2">
      <c r="A47" s="7"/>
      <c r="B47" s="7"/>
      <c r="C47" s="7"/>
      <c r="D47" s="7"/>
      <c r="E47" s="41"/>
      <c r="F47" s="29"/>
      <c r="G47" s="7"/>
      <c r="H47" s="41"/>
      <c r="I47" s="7"/>
      <c r="J47" s="7"/>
      <c r="K47" s="5"/>
      <c r="L47" s="7"/>
      <c r="M47" s="7"/>
      <c r="N47" s="5"/>
      <c r="O47" s="3"/>
      <c r="P47" s="3"/>
      <c r="Q47" s="5"/>
      <c r="R47" s="18"/>
      <c r="S47" s="18"/>
      <c r="T47" s="34"/>
    </row>
    <row r="48" spans="1:20" ht="15" customHeight="1" x14ac:dyDescent="0.2">
      <c r="A48" s="49"/>
      <c r="B48" s="50"/>
      <c r="C48" s="7"/>
      <c r="D48" s="7"/>
      <c r="E48" s="41"/>
      <c r="F48" s="29"/>
      <c r="G48" s="7"/>
      <c r="H48" s="41"/>
      <c r="I48" s="29"/>
      <c r="J48" s="7"/>
      <c r="K48" s="41"/>
      <c r="L48" s="7"/>
      <c r="M48" s="7"/>
      <c r="N48" s="41"/>
      <c r="O48" s="3"/>
      <c r="P48" s="3"/>
      <c r="Q48" s="41"/>
      <c r="R48" s="18"/>
      <c r="S48" s="18"/>
      <c r="T48" s="34"/>
    </row>
    <row r="49" spans="1:20" ht="15" customHeight="1" x14ac:dyDescent="0.2">
      <c r="A49" s="7"/>
      <c r="B49" s="7"/>
      <c r="C49" s="7"/>
      <c r="D49" s="7"/>
      <c r="E49" s="41"/>
      <c r="F49" s="29"/>
      <c r="G49" s="7"/>
      <c r="H49" s="41"/>
      <c r="I49" s="7"/>
      <c r="J49" s="7"/>
      <c r="K49" s="5"/>
      <c r="L49" s="3"/>
      <c r="M49" s="3"/>
      <c r="N49" s="5"/>
      <c r="O49" s="3"/>
      <c r="P49" s="3"/>
      <c r="Q49" s="5"/>
      <c r="R49" s="18"/>
      <c r="S49" s="18"/>
      <c r="T49" s="34"/>
    </row>
    <row r="50" spans="1:20" ht="15" customHeight="1" x14ac:dyDescent="0.2">
      <c r="A50" s="7"/>
      <c r="B50" s="7"/>
      <c r="C50" s="7"/>
      <c r="D50" s="7"/>
      <c r="E50" s="41"/>
      <c r="F50" s="29"/>
      <c r="G50" s="7"/>
      <c r="H50" s="41"/>
      <c r="I50" s="7"/>
      <c r="J50" s="7"/>
      <c r="K50" s="5"/>
      <c r="L50" s="3"/>
      <c r="M50" s="3"/>
      <c r="N50" s="5"/>
      <c r="O50" s="3"/>
      <c r="P50" s="3"/>
      <c r="Q50" s="5"/>
      <c r="R50" s="18"/>
      <c r="S50" s="18"/>
      <c r="T50" s="34"/>
    </row>
    <row r="51" spans="1:20" ht="15" customHeight="1" x14ac:dyDescent="0.2">
      <c r="A51" s="7"/>
      <c r="B51" s="7"/>
      <c r="C51" s="7"/>
      <c r="D51" s="7"/>
      <c r="E51" s="41"/>
      <c r="F51" s="29"/>
      <c r="G51" s="7"/>
      <c r="H51" s="41"/>
      <c r="I51" s="7"/>
      <c r="J51" s="7"/>
      <c r="K51" s="5"/>
      <c r="L51" s="3"/>
      <c r="M51" s="3"/>
      <c r="N51" s="5"/>
      <c r="O51" s="3"/>
      <c r="P51" s="3"/>
      <c r="Q51" s="5"/>
      <c r="R51" s="18"/>
      <c r="S51" s="18"/>
      <c r="T51" s="34"/>
    </row>
    <row r="52" spans="1:20" ht="15" customHeight="1" x14ac:dyDescent="0.2">
      <c r="A52" s="31"/>
      <c r="B52" s="22"/>
      <c r="C52" s="7"/>
      <c r="D52" s="7"/>
      <c r="E52" s="5"/>
      <c r="F52" s="29"/>
      <c r="G52" s="29"/>
      <c r="H52" s="5"/>
      <c r="I52" s="3"/>
      <c r="J52" s="3"/>
      <c r="K52" s="5"/>
      <c r="L52" s="3"/>
      <c r="M52" s="3"/>
      <c r="N52" s="5"/>
      <c r="O52" s="3"/>
      <c r="P52" s="3"/>
      <c r="Q52" s="5"/>
      <c r="R52" s="18"/>
      <c r="S52" s="18"/>
      <c r="T52" s="34"/>
    </row>
    <row r="53" spans="1:20" ht="15" customHeight="1" x14ac:dyDescent="0.2">
      <c r="A53" s="11"/>
      <c r="B53" s="11"/>
      <c r="C53" s="11"/>
      <c r="D53" s="11"/>
      <c r="E53" s="11"/>
      <c r="F53" s="3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7"/>
      <c r="S53" s="11"/>
      <c r="T53" s="12"/>
    </row>
    <row r="54" spans="1:20" ht="15" customHeight="1" x14ac:dyDescent="0.2">
      <c r="F54" s="37"/>
      <c r="T54" s="1"/>
    </row>
    <row r="55" spans="1:20" ht="15" customHeight="1" x14ac:dyDescent="0.2">
      <c r="T55" s="1"/>
    </row>
    <row r="56" spans="1:20" ht="15" customHeight="1" x14ac:dyDescent="0.2">
      <c r="T56" s="1"/>
    </row>
    <row r="57" spans="1:20" ht="15" customHeight="1" x14ac:dyDescent="0.2">
      <c r="T57" s="1"/>
    </row>
    <row r="58" spans="1:20" ht="15" customHeight="1" x14ac:dyDescent="0.2">
      <c r="T58" s="1"/>
    </row>
    <row r="59" spans="1:20" ht="15" customHeight="1" x14ac:dyDescent="0.2">
      <c r="T59" s="1"/>
    </row>
    <row r="60" spans="1:20" ht="15" customHeight="1" x14ac:dyDescent="0.2">
      <c r="T60" s="1"/>
    </row>
    <row r="61" spans="1:20" ht="15" customHeight="1" x14ac:dyDescent="0.2">
      <c r="T61" s="1"/>
    </row>
    <row r="62" spans="1:20" ht="15" customHeight="1" x14ac:dyDescent="0.2">
      <c r="T62" s="1"/>
    </row>
    <row r="63" spans="1:20" ht="15" customHeight="1" x14ac:dyDescent="0.2">
      <c r="T63" s="1"/>
    </row>
    <row r="64" spans="1:20" ht="15" customHeight="1" x14ac:dyDescent="0.2">
      <c r="T64" s="1"/>
    </row>
    <row r="65" spans="20:20" ht="15" customHeight="1" x14ac:dyDescent="0.2">
      <c r="T65" s="1"/>
    </row>
    <row r="66" spans="20:20" ht="15" customHeight="1" x14ac:dyDescent="0.2">
      <c r="T66" s="1"/>
    </row>
    <row r="67" spans="20:20" ht="15" customHeight="1" x14ac:dyDescent="0.2">
      <c r="T67" s="1"/>
    </row>
    <row r="68" spans="20:20" ht="15" customHeight="1" x14ac:dyDescent="0.2">
      <c r="T68" s="1"/>
    </row>
    <row r="69" spans="20:20" ht="15" customHeight="1" x14ac:dyDescent="0.2">
      <c r="T69" s="1"/>
    </row>
    <row r="70" spans="20:20" ht="15" customHeight="1" x14ac:dyDescent="0.2">
      <c r="T70" s="1"/>
    </row>
    <row r="71" spans="20:20" ht="15" customHeight="1" x14ac:dyDescent="0.2">
      <c r="T71" s="1"/>
    </row>
    <row r="72" spans="20:20" ht="15" customHeight="1" x14ac:dyDescent="0.2">
      <c r="T72" s="1"/>
    </row>
    <row r="73" spans="20:20" ht="15" customHeight="1" x14ac:dyDescent="0.2">
      <c r="T73" s="1"/>
    </row>
    <row r="74" spans="20:20" ht="15" customHeight="1" x14ac:dyDescent="0.2">
      <c r="T74" s="1"/>
    </row>
    <row r="75" spans="20:20" ht="15" customHeight="1" x14ac:dyDescent="0.2">
      <c r="T75" s="1"/>
    </row>
    <row r="76" spans="20:20" ht="15" customHeight="1" x14ac:dyDescent="0.2">
      <c r="T76" s="1"/>
    </row>
    <row r="77" spans="20:20" ht="15" customHeight="1" x14ac:dyDescent="0.2">
      <c r="T77" s="1"/>
    </row>
    <row r="78" spans="20:20" ht="15" customHeight="1" x14ac:dyDescent="0.2">
      <c r="T78" s="1"/>
    </row>
    <row r="79" spans="20:20" ht="15" customHeight="1" x14ac:dyDescent="0.2">
      <c r="T79" s="1"/>
    </row>
    <row r="80" spans="20:20" ht="15" customHeight="1" x14ac:dyDescent="0.2">
      <c r="T80" s="1"/>
    </row>
    <row r="81" spans="20:20" ht="15" customHeight="1" x14ac:dyDescent="0.2">
      <c r="T81" s="1"/>
    </row>
    <row r="82" spans="20:20" ht="15" customHeight="1" x14ac:dyDescent="0.2">
      <c r="T82" s="1"/>
    </row>
    <row r="83" spans="20:20" ht="15" customHeight="1" x14ac:dyDescent="0.2">
      <c r="T83" s="1"/>
    </row>
    <row r="84" spans="20:20" ht="15" customHeight="1" x14ac:dyDescent="0.2">
      <c r="T84" s="1"/>
    </row>
    <row r="85" spans="20:20" ht="15" customHeight="1" x14ac:dyDescent="0.2">
      <c r="T85" s="1"/>
    </row>
    <row r="86" spans="20:20" ht="15" customHeight="1" x14ac:dyDescent="0.2">
      <c r="T86" s="1"/>
    </row>
    <row r="87" spans="20:20" ht="15" customHeight="1" x14ac:dyDescent="0.2">
      <c r="T87" s="1"/>
    </row>
    <row r="88" spans="20:20" ht="15" customHeight="1" x14ac:dyDescent="0.2">
      <c r="T88" s="1"/>
    </row>
    <row r="89" spans="20:20" ht="15" customHeight="1" x14ac:dyDescent="0.2">
      <c r="T89" s="1"/>
    </row>
    <row r="90" spans="20:20" ht="15" customHeight="1" x14ac:dyDescent="0.2">
      <c r="T90" s="1"/>
    </row>
    <row r="91" spans="20:20" ht="15" customHeight="1" x14ac:dyDescent="0.2">
      <c r="T91" s="1"/>
    </row>
    <row r="92" spans="20:20" ht="15" customHeight="1" x14ac:dyDescent="0.2">
      <c r="T92" s="1"/>
    </row>
    <row r="93" spans="20:20" ht="15" customHeight="1" x14ac:dyDescent="0.2">
      <c r="T93" s="1"/>
    </row>
    <row r="94" spans="20:20" ht="15" customHeight="1" x14ac:dyDescent="0.2">
      <c r="T94" s="1"/>
    </row>
    <row r="95" spans="20:20" ht="15" customHeight="1" x14ac:dyDescent="0.2">
      <c r="T95" s="1"/>
    </row>
    <row r="96" spans="20:20" ht="15" customHeight="1" x14ac:dyDescent="0.2">
      <c r="T96" s="1"/>
    </row>
    <row r="97" spans="20:20" ht="15" customHeight="1" x14ac:dyDescent="0.2">
      <c r="T97" s="1"/>
    </row>
    <row r="98" spans="20:20" ht="15" customHeight="1" x14ac:dyDescent="0.2">
      <c r="T98" s="1"/>
    </row>
    <row r="99" spans="20:20" ht="15" customHeight="1" x14ac:dyDescent="0.2">
      <c r="T99" s="1"/>
    </row>
    <row r="100" spans="20:20" ht="15" customHeight="1" x14ac:dyDescent="0.2">
      <c r="T100" s="1"/>
    </row>
    <row r="101" spans="20:20" ht="15" customHeight="1" x14ac:dyDescent="0.2">
      <c r="T101" s="1"/>
    </row>
    <row r="102" spans="20:20" ht="15" customHeight="1" x14ac:dyDescent="0.2">
      <c r="T102" s="1"/>
    </row>
    <row r="103" spans="20:20" ht="15" customHeight="1" x14ac:dyDescent="0.2">
      <c r="T103" s="1"/>
    </row>
    <row r="104" spans="20:20" ht="15" customHeight="1" x14ac:dyDescent="0.2">
      <c r="T104" s="1"/>
    </row>
    <row r="105" spans="20:20" ht="15" customHeight="1" x14ac:dyDescent="0.2">
      <c r="T105" s="1"/>
    </row>
    <row r="106" spans="20:20" ht="15" customHeight="1" x14ac:dyDescent="0.2">
      <c r="T106" s="1"/>
    </row>
    <row r="107" spans="20:20" ht="15" customHeight="1" x14ac:dyDescent="0.2">
      <c r="T107" s="1"/>
    </row>
    <row r="108" spans="20:20" ht="15" customHeight="1" x14ac:dyDescent="0.2">
      <c r="T108" s="1"/>
    </row>
    <row r="109" spans="20:20" ht="15" customHeight="1" x14ac:dyDescent="0.2">
      <c r="T109" s="1"/>
    </row>
    <row r="110" spans="20:20" ht="15" customHeight="1" x14ac:dyDescent="0.2">
      <c r="T110" s="1"/>
    </row>
    <row r="111" spans="20:20" ht="15" customHeight="1" x14ac:dyDescent="0.2">
      <c r="T111" s="1"/>
    </row>
    <row r="112" spans="20:20" ht="15" customHeight="1" x14ac:dyDescent="0.2">
      <c r="T112" s="1"/>
    </row>
    <row r="113" spans="20:20" ht="15" customHeight="1" x14ac:dyDescent="0.2">
      <c r="T113" s="1"/>
    </row>
    <row r="114" spans="20:20" ht="15" customHeight="1" x14ac:dyDescent="0.2">
      <c r="T114" s="1"/>
    </row>
    <row r="115" spans="20:20" ht="15" customHeight="1" x14ac:dyDescent="0.2">
      <c r="T115" s="1"/>
    </row>
    <row r="116" spans="20:20" ht="15" customHeight="1" x14ac:dyDescent="0.2">
      <c r="T116" s="1"/>
    </row>
    <row r="117" spans="20:20" ht="15" customHeight="1" x14ac:dyDescent="0.2">
      <c r="T117" s="1"/>
    </row>
    <row r="118" spans="20:20" ht="15" customHeight="1" x14ac:dyDescent="0.2">
      <c r="T118" s="1"/>
    </row>
    <row r="119" spans="20:20" ht="15" customHeight="1" x14ac:dyDescent="0.2">
      <c r="T119" s="1"/>
    </row>
    <row r="120" spans="20:20" ht="15" customHeight="1" x14ac:dyDescent="0.2">
      <c r="T120" s="1"/>
    </row>
    <row r="121" spans="20:20" ht="15" customHeight="1" x14ac:dyDescent="0.2">
      <c r="T121" s="1"/>
    </row>
    <row r="122" spans="20:20" ht="15" customHeight="1" x14ac:dyDescent="0.2">
      <c r="T122" s="1"/>
    </row>
    <row r="123" spans="20:20" ht="15" customHeight="1" x14ac:dyDescent="0.2">
      <c r="T123" s="1"/>
    </row>
    <row r="124" spans="20:20" ht="15" customHeight="1" x14ac:dyDescent="0.2">
      <c r="T124" s="1"/>
    </row>
    <row r="125" spans="20:20" ht="15" customHeight="1" x14ac:dyDescent="0.2">
      <c r="T125" s="1"/>
    </row>
    <row r="126" spans="20:20" ht="15" customHeight="1" x14ac:dyDescent="0.2">
      <c r="T126" s="1"/>
    </row>
    <row r="127" spans="20:20" ht="15" customHeight="1" x14ac:dyDescent="0.2">
      <c r="T127" s="1"/>
    </row>
    <row r="128" spans="20:20" ht="15" customHeight="1" x14ac:dyDescent="0.2">
      <c r="T128" s="1"/>
    </row>
    <row r="129" spans="20:20" ht="15" customHeight="1" x14ac:dyDescent="0.2">
      <c r="T129" s="1"/>
    </row>
    <row r="130" spans="20:20" ht="15" customHeight="1" x14ac:dyDescent="0.2">
      <c r="T130" s="1"/>
    </row>
    <row r="131" spans="20:20" ht="15" customHeight="1" x14ac:dyDescent="0.2">
      <c r="T131" s="1"/>
    </row>
    <row r="132" spans="20:20" ht="15" customHeight="1" x14ac:dyDescent="0.2">
      <c r="T132" s="1"/>
    </row>
    <row r="133" spans="20:20" ht="15" customHeight="1" x14ac:dyDescent="0.2">
      <c r="T133" s="1"/>
    </row>
    <row r="134" spans="20:20" ht="15" customHeight="1" x14ac:dyDescent="0.2">
      <c r="T134" s="1"/>
    </row>
    <row r="135" spans="20:20" ht="15" customHeight="1" x14ac:dyDescent="0.2">
      <c r="T135" s="1"/>
    </row>
    <row r="136" spans="20:20" ht="15" customHeight="1" x14ac:dyDescent="0.2">
      <c r="T136" s="1"/>
    </row>
    <row r="137" spans="20:20" ht="15" customHeight="1" x14ac:dyDescent="0.2">
      <c r="T137" s="1"/>
    </row>
    <row r="138" spans="20:20" ht="15" customHeight="1" x14ac:dyDescent="0.2">
      <c r="T138" s="1"/>
    </row>
    <row r="139" spans="20:20" ht="15" customHeight="1" x14ac:dyDescent="0.2">
      <c r="T139" s="1"/>
    </row>
    <row r="140" spans="20:20" ht="15" customHeight="1" x14ac:dyDescent="0.2">
      <c r="T140" s="1"/>
    </row>
    <row r="141" spans="20:20" ht="15" customHeight="1" x14ac:dyDescent="0.2">
      <c r="T141" s="1"/>
    </row>
    <row r="142" spans="20:20" ht="15" customHeight="1" x14ac:dyDescent="0.2">
      <c r="T142" s="1"/>
    </row>
    <row r="143" spans="20:20" ht="15" customHeight="1" x14ac:dyDescent="0.2">
      <c r="T143" s="1"/>
    </row>
    <row r="144" spans="20:20" ht="15" customHeight="1" x14ac:dyDescent="0.2">
      <c r="T144" s="1"/>
    </row>
    <row r="145" spans="20:20" ht="15" customHeight="1" x14ac:dyDescent="0.2">
      <c r="T145" s="1"/>
    </row>
    <row r="146" spans="20:20" ht="15" customHeight="1" x14ac:dyDescent="0.2">
      <c r="T146" s="1"/>
    </row>
    <row r="147" spans="20:20" ht="15" customHeight="1" x14ac:dyDescent="0.2">
      <c r="T147" s="1"/>
    </row>
    <row r="148" spans="20:20" ht="15" customHeight="1" x14ac:dyDescent="0.2">
      <c r="T148" s="1"/>
    </row>
    <row r="149" spans="20:20" ht="15" customHeight="1" x14ac:dyDescent="0.2">
      <c r="T149" s="1"/>
    </row>
    <row r="150" spans="20:20" ht="15" customHeight="1" x14ac:dyDescent="0.2">
      <c r="T150" s="1"/>
    </row>
    <row r="151" spans="20:20" ht="15" customHeight="1" x14ac:dyDescent="0.2">
      <c r="T151" s="1"/>
    </row>
    <row r="152" spans="20:20" ht="15" customHeight="1" x14ac:dyDescent="0.2">
      <c r="T152" s="1"/>
    </row>
    <row r="153" spans="20:20" ht="15" customHeight="1" x14ac:dyDescent="0.2">
      <c r="T153" s="1"/>
    </row>
    <row r="154" spans="20:20" ht="15" customHeight="1" x14ac:dyDescent="0.2">
      <c r="T154" s="1"/>
    </row>
    <row r="155" spans="20:20" ht="15" customHeight="1" x14ac:dyDescent="0.2">
      <c r="T155" s="1"/>
    </row>
    <row r="156" spans="20:20" ht="15" customHeight="1" x14ac:dyDescent="0.2">
      <c r="T156" s="1"/>
    </row>
    <row r="157" spans="20:20" ht="15" customHeight="1" x14ac:dyDescent="0.2">
      <c r="T157" s="1"/>
    </row>
    <row r="158" spans="20:20" ht="15" customHeight="1" x14ac:dyDescent="0.2">
      <c r="T158" s="1"/>
    </row>
    <row r="159" spans="20:20" ht="15" customHeight="1" x14ac:dyDescent="0.2">
      <c r="T159" s="1"/>
    </row>
    <row r="160" spans="20:20" ht="15" customHeight="1" x14ac:dyDescent="0.2">
      <c r="T160" s="1"/>
    </row>
    <row r="161" spans="20:20" ht="15" customHeight="1" x14ac:dyDescent="0.2">
      <c r="T161" s="1"/>
    </row>
    <row r="162" spans="20:20" ht="15" customHeight="1" x14ac:dyDescent="0.2">
      <c r="T162" s="1"/>
    </row>
    <row r="163" spans="20:20" ht="15" customHeight="1" x14ac:dyDescent="0.2">
      <c r="T163" s="1"/>
    </row>
    <row r="164" spans="20:20" ht="15" customHeight="1" x14ac:dyDescent="0.2">
      <c r="T164" s="1"/>
    </row>
    <row r="165" spans="20:20" ht="15" customHeight="1" x14ac:dyDescent="0.2">
      <c r="T165" s="1"/>
    </row>
    <row r="166" spans="20:20" ht="15" customHeight="1" x14ac:dyDescent="0.2">
      <c r="T166" s="1"/>
    </row>
    <row r="167" spans="20:20" ht="15" customHeight="1" x14ac:dyDescent="0.2">
      <c r="T167" s="1"/>
    </row>
    <row r="168" spans="20:20" ht="15" customHeight="1" x14ac:dyDescent="0.2">
      <c r="T168" s="1"/>
    </row>
    <row r="169" spans="20:20" ht="15" customHeight="1" x14ac:dyDescent="0.2">
      <c r="T169" s="1"/>
    </row>
    <row r="170" spans="20:20" ht="15" customHeight="1" x14ac:dyDescent="0.2">
      <c r="T170" s="1"/>
    </row>
    <row r="171" spans="20:20" ht="15" customHeight="1" x14ac:dyDescent="0.2">
      <c r="T171" s="1"/>
    </row>
    <row r="172" spans="20:20" ht="15" customHeight="1" x14ac:dyDescent="0.2">
      <c r="T172" s="1"/>
    </row>
    <row r="173" spans="20:20" ht="15" customHeight="1" x14ac:dyDescent="0.2">
      <c r="T173" s="1"/>
    </row>
    <row r="174" spans="20:20" ht="15" customHeight="1" x14ac:dyDescent="0.2">
      <c r="T174" s="1"/>
    </row>
    <row r="175" spans="20:20" ht="15" customHeight="1" x14ac:dyDescent="0.2">
      <c r="T175" s="1"/>
    </row>
    <row r="176" spans="20:20" ht="15" customHeight="1" x14ac:dyDescent="0.2">
      <c r="T176" s="1"/>
    </row>
    <row r="177" spans="20:20" ht="15" customHeight="1" x14ac:dyDescent="0.2">
      <c r="T177" s="1"/>
    </row>
    <row r="178" spans="20:20" ht="15" customHeight="1" x14ac:dyDescent="0.2">
      <c r="T178" s="1"/>
    </row>
    <row r="179" spans="20:20" ht="15" customHeight="1" x14ac:dyDescent="0.2">
      <c r="T179" s="1"/>
    </row>
    <row r="180" spans="20:20" ht="15" customHeight="1" x14ac:dyDescent="0.2">
      <c r="T180" s="1"/>
    </row>
    <row r="181" spans="20:20" ht="15" customHeight="1" x14ac:dyDescent="0.2">
      <c r="T181" s="1"/>
    </row>
    <row r="182" spans="20:20" ht="15" customHeight="1" x14ac:dyDescent="0.2">
      <c r="T182" s="1"/>
    </row>
    <row r="183" spans="20:20" ht="15" customHeight="1" x14ac:dyDescent="0.2">
      <c r="T183" s="1"/>
    </row>
    <row r="184" spans="20:20" ht="15" customHeight="1" x14ac:dyDescent="0.2">
      <c r="T184" s="1"/>
    </row>
    <row r="185" spans="20:20" ht="15" customHeight="1" x14ac:dyDescent="0.2">
      <c r="T185" s="1"/>
    </row>
  </sheetData>
  <sortState ref="A8:T20">
    <sortCondition descending="1" ref="T8:T20"/>
  </sortState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Maxi 1</vt:lpstr>
      <vt:lpstr>Maxi 2</vt:lpstr>
      <vt:lpstr>Maxi 3</vt:lpstr>
      <vt:lpstr>Midi</vt:lpstr>
      <vt:lpstr>DV-IDENTITY-0</vt:lpstr>
      <vt:lpstr>Mini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Lars</cp:lastModifiedBy>
  <cp:lastPrinted>2016-11-12T17:34:56Z</cp:lastPrinted>
  <dcterms:created xsi:type="dcterms:W3CDTF">2012-02-25T15:01:23Z</dcterms:created>
  <dcterms:modified xsi:type="dcterms:W3CDTF">2016-11-12T17:37:08Z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1TfO0lqPVifDqBUMCZDg799hgK-Ot0symXF60PIk5JwQ</vt:lpwstr>
  </property>
  <property fmtid="{D5CDD505-2E9C-101B-9397-08002B2CF9AE}" pid="4" name="Google.Documents.RevisionId">
    <vt:lpwstr>06227127664551423895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